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9.xml" ContentType="application/vnd.ms-excel.controlproperties+xml"/>
  <Override PartName="/docProps/app.xml" ContentType="application/vnd.openxmlformats-officedocument.extended-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530"/>
  </bookViews>
  <sheets>
    <sheet name="FPA" sheetId="1" r:id="rId1"/>
  </sheets>
  <definedNames>
    <definedName name="imprimir" localSheetId="0">FPA!$C$4:$AF$86</definedName>
    <definedName name="_xlnm.Print_Area" localSheetId="0">FPA!$B$1:$BE$83</definedName>
  </definedNames>
  <calcPr calcId="124519"/>
</workbook>
</file>

<file path=xl/calcChain.xml><?xml version="1.0" encoding="utf-8"?>
<calcChain xmlns="http://schemas.openxmlformats.org/spreadsheetml/2006/main">
  <c r="BU80" i="1"/>
  <c r="AE76" l="1"/>
  <c r="AE66" l="1"/>
  <c r="AC25"/>
  <c r="AC33" s="1"/>
  <c r="Y25"/>
  <c r="Y33" s="1"/>
  <c r="U25"/>
  <c r="U33" s="1"/>
  <c r="Q25"/>
  <c r="Q33" s="1"/>
  <c r="M25"/>
  <c r="M33" s="1"/>
  <c r="I25"/>
  <c r="I33" s="1"/>
  <c r="BU61"/>
  <c r="BU62" s="1"/>
  <c r="BO47" s="1"/>
  <c r="CA58" s="1"/>
  <c r="BU53"/>
  <c r="BU54" s="1"/>
  <c r="BO40" s="1"/>
  <c r="CA50" s="1"/>
  <c r="BV50" s="1"/>
  <c r="BU45"/>
  <c r="BU46" s="1"/>
  <c r="BO33" s="1"/>
  <c r="BW39"/>
  <c r="BV58" l="1"/>
  <c r="BX58" s="1"/>
  <c r="CD58"/>
  <c r="CD50"/>
  <c r="BT41"/>
  <c r="CA42"/>
  <c r="BX50"/>
  <c r="BV42" l="1"/>
  <c r="BX42" s="1"/>
  <c r="CD42"/>
  <c r="R81" l="1"/>
  <c r="BU19"/>
  <c r="BU15"/>
  <c r="BV10"/>
  <c r="BV9"/>
  <c r="BV8"/>
  <c r="BV7"/>
  <c r="BW7" s="1"/>
  <c r="BV6"/>
  <c r="BW6" s="1"/>
  <c r="AJ18"/>
  <c r="AJ19" s="1"/>
  <c r="AJ20" s="1"/>
  <c r="AJ21" s="1"/>
  <c r="AJ22" s="1"/>
  <c r="AJ23" s="1"/>
  <c r="AN18" s="1"/>
  <c r="AN19" s="1"/>
  <c r="AN20" s="1"/>
  <c r="AN21" s="1"/>
  <c r="AN22" s="1"/>
  <c r="AN23" s="1"/>
  <c r="AR18" s="1"/>
  <c r="AR19" s="1"/>
  <c r="AR20" s="1"/>
  <c r="AR21" s="1"/>
  <c r="AR22" s="1"/>
  <c r="AR23" s="1"/>
  <c r="AV18" s="1"/>
  <c r="AV19" s="1"/>
  <c r="AV20" s="1"/>
  <c r="AV21" s="1"/>
  <c r="AV22" s="1"/>
  <c r="AV23" s="1"/>
  <c r="AZ18" s="1"/>
  <c r="AZ19" s="1"/>
  <c r="AZ20" s="1"/>
  <c r="AZ21" s="1"/>
  <c r="AZ22" s="1"/>
  <c r="AZ23" s="1"/>
  <c r="BD18" s="1"/>
  <c r="BD19" s="1"/>
  <c r="BD20" s="1"/>
  <c r="BD21" s="1"/>
  <c r="BD22" s="1"/>
  <c r="BD23" s="1"/>
  <c r="AJ26" s="1"/>
  <c r="AJ27" s="1"/>
  <c r="AJ28" s="1"/>
  <c r="AJ29" s="1"/>
  <c r="AJ30" s="1"/>
  <c r="AJ31" s="1"/>
  <c r="AN26" s="1"/>
  <c r="AN27" s="1"/>
  <c r="AN28" s="1"/>
  <c r="AN29" s="1"/>
  <c r="AN30" s="1"/>
  <c r="AN31" s="1"/>
  <c r="AR26" s="1"/>
  <c r="AR27" s="1"/>
  <c r="AR28" s="1"/>
  <c r="AR29" s="1"/>
  <c r="AR30" s="1"/>
  <c r="AR31" s="1"/>
  <c r="AV26" s="1"/>
  <c r="AV27" s="1"/>
  <c r="AV28" s="1"/>
  <c r="AV29" s="1"/>
  <c r="AV30" s="1"/>
  <c r="AV31" s="1"/>
  <c r="AZ26" s="1"/>
  <c r="AZ27" s="1"/>
  <c r="AZ28" s="1"/>
  <c r="AZ29" s="1"/>
  <c r="AZ30" s="1"/>
  <c r="AZ31" s="1"/>
  <c r="BD26" s="1"/>
  <c r="BD27" s="1"/>
  <c r="BD28" s="1"/>
  <c r="BD29" s="1"/>
  <c r="BD30" s="1"/>
  <c r="BD31" s="1"/>
  <c r="AJ34" s="1"/>
  <c r="AJ35" s="1"/>
  <c r="AJ36" s="1"/>
  <c r="AJ37" s="1"/>
  <c r="AJ38" s="1"/>
  <c r="AN34" s="1"/>
  <c r="AN35" s="1"/>
  <c r="AN36" s="1"/>
  <c r="AN37" s="1"/>
  <c r="AN38" s="1"/>
  <c r="AR34" s="1"/>
  <c r="AR35" s="1"/>
  <c r="AR36" s="1"/>
  <c r="AR37" s="1"/>
  <c r="AR38" s="1"/>
  <c r="AV34" s="1"/>
  <c r="AV35" s="1"/>
  <c r="AV36" s="1"/>
  <c r="AV37" s="1"/>
  <c r="AV38" s="1"/>
  <c r="AZ34" s="1"/>
  <c r="AZ35" s="1"/>
  <c r="AZ36" s="1"/>
  <c r="AZ37" s="1"/>
  <c r="AZ38" s="1"/>
  <c r="C14" l="1"/>
  <c r="AE54"/>
  <c r="AE55" s="1"/>
  <c r="BW8"/>
  <c r="BW11" s="1"/>
  <c r="BV11"/>
  <c r="BX34"/>
  <c r="BW34" s="1"/>
  <c r="BI12" l="1"/>
  <c r="BI21"/>
  <c r="BI11"/>
  <c r="BM10" s="1"/>
  <c r="BU22"/>
  <c r="AE78"/>
  <c r="C80" s="1"/>
  <c r="CD43"/>
  <c r="BW58"/>
  <c r="BV59" s="1"/>
  <c r="BW50"/>
  <c r="BV51" s="1"/>
  <c r="CD51"/>
  <c r="CD59"/>
  <c r="BW42"/>
  <c r="BL10"/>
  <c r="BI8"/>
  <c r="BI15"/>
  <c r="BM23"/>
  <c r="BI23"/>
  <c r="BM16"/>
  <c r="BL16"/>
  <c r="BI18"/>
  <c r="BM20" s="1"/>
  <c r="BJ24"/>
  <c r="BX14" l="1"/>
  <c r="BV43"/>
  <c r="BY42"/>
  <c r="BT42" s="1"/>
  <c r="E18" s="1"/>
  <c r="CD60"/>
  <c r="CD61" s="1"/>
  <c r="CD62" s="1"/>
  <c r="CD52"/>
  <c r="CD53" s="1"/>
  <c r="CD54" s="1"/>
  <c r="CD55" s="1"/>
  <c r="BY50"/>
  <c r="BT50" s="1"/>
  <c r="E26" s="1"/>
  <c r="BY58"/>
  <c r="BT58" s="1"/>
  <c r="E34" s="1"/>
  <c r="CD44"/>
  <c r="CD45" s="1"/>
  <c r="CD46" s="1"/>
  <c r="CD47" s="1"/>
  <c r="BL20"/>
  <c r="BN24" s="1"/>
  <c r="C40" s="1"/>
  <c r="BW59" l="1"/>
  <c r="BV60" s="1"/>
  <c r="BX59"/>
  <c r="BX51"/>
  <c r="BW51"/>
  <c r="BV52" s="1"/>
  <c r="BJ43"/>
  <c r="BJ36"/>
  <c r="BJ50"/>
  <c r="BX43"/>
  <c r="BW43"/>
  <c r="BY51" l="1"/>
  <c r="BT51" s="1"/>
  <c r="E27" s="1"/>
  <c r="BY43"/>
  <c r="BT43" s="1"/>
  <c r="E19" s="1"/>
  <c r="BV44"/>
  <c r="BY59"/>
  <c r="BT59" s="1"/>
  <c r="E35" s="1"/>
  <c r="BX60" l="1"/>
  <c r="BW60"/>
  <c r="BV61" s="1"/>
  <c r="BW44"/>
  <c r="BX44"/>
  <c r="BX52"/>
  <c r="BW52"/>
  <c r="BV53" s="1"/>
  <c r="BV45" l="1"/>
  <c r="BY44"/>
  <c r="BT44" s="1"/>
  <c r="E20" s="1"/>
  <c r="BY52"/>
  <c r="BT52" s="1"/>
  <c r="E28" s="1"/>
  <c r="BY60"/>
  <c r="BT60" s="1"/>
  <c r="E36" s="1"/>
  <c r="BW61" l="1"/>
  <c r="BV62" s="1"/>
  <c r="BX61"/>
  <c r="BX53"/>
  <c r="BW53"/>
  <c r="BV54" s="1"/>
  <c r="BX45"/>
  <c r="BW45"/>
  <c r="BV46" l="1"/>
  <c r="BY45"/>
  <c r="BT45" s="1"/>
  <c r="E21" s="1"/>
  <c r="BY53"/>
  <c r="BT53" s="1"/>
  <c r="E29" s="1"/>
  <c r="BY61"/>
  <c r="BT61" s="1"/>
  <c r="E37" s="1"/>
  <c r="BX62" l="1"/>
  <c r="BW62"/>
  <c r="BY62" s="1"/>
  <c r="BW54"/>
  <c r="BV55" s="1"/>
  <c r="BX54"/>
  <c r="BW46"/>
  <c r="BX46"/>
  <c r="BT62" l="1"/>
  <c r="E38" s="1"/>
  <c r="BV47"/>
  <c r="BY46"/>
  <c r="BT46" s="1"/>
  <c r="E22" s="1"/>
  <c r="BY54"/>
  <c r="BT54" s="1"/>
  <c r="E30" s="1"/>
  <c r="BX55" l="1"/>
  <c r="BW55"/>
  <c r="BY55" s="1"/>
  <c r="BW47"/>
  <c r="BY47" s="1"/>
  <c r="BX47"/>
  <c r="BT55" l="1"/>
  <c r="E31" s="1"/>
  <c r="BT47"/>
  <c r="E23" s="1"/>
</calcChain>
</file>

<file path=xl/sharedStrings.xml><?xml version="1.0" encoding="utf-8"?>
<sst xmlns="http://schemas.openxmlformats.org/spreadsheetml/2006/main" count="222" uniqueCount="129">
  <si>
    <t>terça</t>
  </si>
  <si>
    <t>período</t>
  </si>
  <si>
    <t>Regime de trabalho:</t>
  </si>
  <si>
    <t>quarta</t>
  </si>
  <si>
    <t>sábado</t>
  </si>
  <si>
    <t>Prontuário:</t>
  </si>
  <si>
    <t>sexta</t>
  </si>
  <si>
    <t>aulas</t>
  </si>
  <si>
    <t>nome</t>
  </si>
  <si>
    <t>quinta</t>
  </si>
  <si>
    <t>m-v-n</t>
  </si>
  <si>
    <t>Telefone:</t>
  </si>
  <si>
    <t>m-n</t>
  </si>
  <si>
    <t>=IF((professores!R[8]C[-32]=""),"",professores!R[8]C[-32])</t>
  </si>
  <si>
    <t>e-mail:</t>
  </si>
  <si>
    <t>o</t>
  </si>
  <si>
    <t>m</t>
  </si>
  <si>
    <t>curso</t>
  </si>
  <si>
    <t>sigla</t>
  </si>
  <si>
    <t>=IF((professores!R[5]C[-32]=""),"",professores!R[5]C[-32])</t>
  </si>
  <si>
    <t>segunda</t>
  </si>
  <si>
    <t>x</t>
  </si>
  <si>
    <t>Área:</t>
  </si>
  <si>
    <t xml:space="preserve">Aula </t>
  </si>
  <si>
    <t xml:space="preserve">Turno </t>
  </si>
  <si>
    <t>Matutino</t>
  </si>
  <si>
    <t xml:space="preserve">Noturno </t>
  </si>
  <si>
    <t>Instituto Federal de Educação, Ciência e Tecnologia de São Paulo - IFSP</t>
  </si>
  <si>
    <t xml:space="preserve">Docente: </t>
  </si>
  <si>
    <t>Campus:</t>
  </si>
  <si>
    <t>Ano/Semestre:</t>
  </si>
  <si>
    <t>Disponibilidade de horário para atribuição de componentes curriculares</t>
  </si>
  <si>
    <t>ANEXO I</t>
  </si>
  <si>
    <t xml:space="preserve">Identificação do Docente </t>
  </si>
  <si>
    <t>Presidente CAAD</t>
  </si>
  <si>
    <t>Araraquara (ARQ)</t>
  </si>
  <si>
    <t>Assis - Núcleo Avançado</t>
  </si>
  <si>
    <t>Avaré (AVR)</t>
  </si>
  <si>
    <t>Barretos (BRT)</t>
  </si>
  <si>
    <t>Birigui (BRI)</t>
  </si>
  <si>
    <t>Boituva (BTV)</t>
  </si>
  <si>
    <t>Bragança Paulista (BRA)</t>
  </si>
  <si>
    <t>Campinas (CMP)</t>
  </si>
  <si>
    <t>Campos do Jordão (CJO)</t>
  </si>
  <si>
    <t>Capivari (CPV)</t>
  </si>
  <si>
    <t>Caraguatatuba (CAR)</t>
  </si>
  <si>
    <t>Catanduva (CTD)</t>
  </si>
  <si>
    <t>Cubatão (CBT)</t>
  </si>
  <si>
    <t>Guarulhos (GRU)</t>
  </si>
  <si>
    <t>Hortolândia (HTO)</t>
  </si>
  <si>
    <t>Itapetininga (ITP)</t>
  </si>
  <si>
    <t>Jacareí (JCR)</t>
  </si>
  <si>
    <t>Matão (MTO)</t>
  </si>
  <si>
    <t>Piracicaba (PRC)</t>
  </si>
  <si>
    <t>Presidente Epitácio (PEP)</t>
  </si>
  <si>
    <t>Registro (RGT)</t>
  </si>
  <si>
    <t>Salto (SLT)</t>
  </si>
  <si>
    <t>São Carlos (SCL)</t>
  </si>
  <si>
    <t>São João da Boa Vista (SBV)</t>
  </si>
  <si>
    <t>São José dos Campos (SJC)</t>
  </si>
  <si>
    <t>São Paulo (SPO)</t>
  </si>
  <si>
    <t>São Roque (SRQ)</t>
  </si>
  <si>
    <t>Sertãozinho (SRT)</t>
  </si>
  <si>
    <t>Suzano (SZN)</t>
  </si>
  <si>
    <t>Votuporanga (VTP)</t>
  </si>
  <si>
    <t>Araras - Campus Avançado</t>
  </si>
  <si>
    <t>Jundiaí - Campus Avançado</t>
  </si>
  <si>
    <t>Limeira - Campus Avançado</t>
  </si>
  <si>
    <t>Mococa - Campus Avançado</t>
  </si>
  <si>
    <t>Presidente Prudente - Campus Avançado</t>
  </si>
  <si>
    <t>Sorocaba - Campus Avançado</t>
  </si>
  <si>
    <t>Rio Claro - Campus Avançado</t>
  </si>
  <si>
    <t xml:space="preserve"> 20 horas</t>
  </si>
  <si>
    <t xml:space="preserve"> RDE </t>
  </si>
  <si>
    <t xml:space="preserve"> Substituto</t>
  </si>
  <si>
    <t xml:space="preserve"> Temporário</t>
  </si>
  <si>
    <t>X</t>
  </si>
  <si>
    <t>Regime</t>
  </si>
  <si>
    <t>Quadro auxiliar (não sai na área de impressão)</t>
  </si>
  <si>
    <t>Duração da aula</t>
  </si>
  <si>
    <t>Dedicação à aulas</t>
  </si>
  <si>
    <t>Disponibilidade</t>
  </si>
  <si>
    <t>Docente</t>
  </si>
  <si>
    <t>Complementação de Atividades</t>
  </si>
  <si>
    <t>Formulário de Preferência de Atividades - FPA (Anexo I - Resolução nº 112 de 7 outubro de 2014)</t>
  </si>
  <si>
    <t>Complementação de Atividades (em horas)</t>
  </si>
  <si>
    <t>Atividades de Apoio ao Ensino (em horas)</t>
  </si>
  <si>
    <t>Regência de Aulas (em horas)</t>
  </si>
  <si>
    <t>Organização do Ensino (em horas)</t>
  </si>
  <si>
    <t>Componentes curriculares de interesse do docente (por ordem de prioridade)</t>
  </si>
  <si>
    <t>Atividades de Apoio ao Ensino</t>
  </si>
  <si>
    <t>Aula</t>
  </si>
  <si>
    <t>Deseja substituir a numeração pelo horário?</t>
  </si>
  <si>
    <t>Verificação</t>
  </si>
  <si>
    <t>Hora inicial</t>
  </si>
  <si>
    <t>Que horas começa o intervalo neste período?</t>
  </si>
  <si>
    <t>Minutos</t>
  </si>
  <si>
    <t>Duração do intervalo</t>
  </si>
  <si>
    <t>Vespertino</t>
  </si>
  <si>
    <t xml:space="preserve"> Celular:</t>
  </si>
  <si>
    <t>Período do curso</t>
  </si>
  <si>
    <t>M</t>
  </si>
  <si>
    <t>V</t>
  </si>
  <si>
    <t>N</t>
  </si>
  <si>
    <t xml:space="preserve"> 40 horas</t>
  </si>
  <si>
    <t xml:space="preserve">Conhecido como: </t>
  </si>
  <si>
    <t>Horas de trabalho</t>
  </si>
  <si>
    <t>Como exemplos de atividades que podem ser realizadas e descritas nos campos da tabela de Apoio ao Ensino, tem-se:</t>
  </si>
  <si>
    <t>Como exemplos de atividades que podem ser realizadas e descritas nos campos da tabela de Complementação de atividades, tem-se:</t>
  </si>
  <si>
    <t>Que horas representa o número 1 no período vespertino?</t>
  </si>
  <si>
    <t>Que horas representa o número 1 no período noturno?</t>
  </si>
  <si>
    <t>Que horas representa o número 1 no período matutino?</t>
  </si>
  <si>
    <t>- Outras atividades com descrição semanal.</t>
  </si>
  <si>
    <t>- Supervisão ou orientação de estágio ou de trabalhos acadêmicos;</t>
  </si>
  <si>
    <t>- Recuperação paralela;</t>
  </si>
  <si>
    <t>- Reuniões (De área, de cursos, Pedagógicas, NDE, etc) - Mínimo 2h;</t>
  </si>
  <si>
    <t>- Atendimento ao aluno (mínimo 1h);</t>
  </si>
  <si>
    <t>- Projetos de pesquisa;</t>
  </si>
  <si>
    <t>- Projetos de extensão;</t>
  </si>
  <si>
    <t>- Participação em comissões e comitês;</t>
  </si>
  <si>
    <t>- Cursos de capacitação;</t>
  </si>
  <si>
    <t>- Outras atividades com descrição semanal;</t>
  </si>
  <si>
    <t>Caso o docente deseje substituir a numeração das aulas nos turnos pelos horários das mesmas no campus, e se os cursos onde o docente tem aulas obedecem à mesma distribuição de horário, complete as informações abaixo:</t>
  </si>
  <si>
    <t>- Coordenações, gerências ou direções;</t>
  </si>
  <si>
    <t>Total de horas semanais (obrigatoriamente 20h ou 40h, dependendo do regime de trabalho)</t>
  </si>
  <si>
    <r>
      <t xml:space="preserve">Duração do intervalo no período </t>
    </r>
    <r>
      <rPr>
        <b/>
        <sz val="10"/>
        <rFont val="Arial"/>
        <family val="2"/>
      </rPr>
      <t>matutino</t>
    </r>
    <r>
      <rPr>
        <sz val="10"/>
        <rFont val="Arial"/>
        <family val="2"/>
      </rPr>
      <t>?</t>
    </r>
  </si>
  <si>
    <r>
      <t xml:space="preserve">Duração do intervalo no período </t>
    </r>
    <r>
      <rPr>
        <b/>
        <sz val="10"/>
        <rFont val="Arial"/>
        <family val="2"/>
      </rPr>
      <t>vespertino</t>
    </r>
    <r>
      <rPr>
        <sz val="10"/>
        <rFont val="Arial"/>
        <family val="2"/>
      </rPr>
      <t>?</t>
    </r>
  </si>
  <si>
    <r>
      <t xml:space="preserve">Duração do intervalo no período </t>
    </r>
    <r>
      <rPr>
        <b/>
        <sz val="10"/>
        <rFont val="Arial"/>
        <family val="2"/>
      </rPr>
      <t>noturno</t>
    </r>
    <r>
      <rPr>
        <sz val="10"/>
        <rFont val="Arial"/>
        <family val="2"/>
      </rPr>
      <t>?</t>
    </r>
  </si>
  <si>
    <t>2020/2°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</si>
</sst>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[&lt;=9999999]###\-####;\(###\)\ #####\-####"/>
    <numFmt numFmtId="165" formatCode="[&lt;=9999999]###\-####;\(##\)\ ####\-####"/>
    <numFmt numFmtId="166" formatCode="[&lt;=9999999]#####\-#;\ #####\-#"/>
    <numFmt numFmtId="167" formatCode="h:mm;@"/>
  </numFmts>
  <fonts count="21">
    <font>
      <sz val="10"/>
      <name val="Arial"/>
      <family val="2"/>
    </font>
    <font>
      <sz val="10"/>
      <color indexed="8"/>
      <name val="Arial"/>
      <family val="2"/>
    </font>
    <font>
      <sz val="10"/>
      <color indexed="55"/>
      <name val="Arial"/>
      <family val="2"/>
    </font>
    <font>
      <sz val="10"/>
      <color indexed="22"/>
      <name val="Arial"/>
      <family val="2"/>
    </font>
    <font>
      <b/>
      <sz val="10"/>
      <color indexed="8"/>
      <name val="Arial"/>
      <family val="2"/>
    </font>
    <font>
      <sz val="1"/>
      <color indexed="15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53"/>
      <name val="Arial"/>
      <family val="2"/>
    </font>
    <font>
      <sz val="8"/>
      <name val="Arial"/>
      <family val="2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8"/>
      <color indexed="8"/>
      <name val="Arial"/>
      <family val="2"/>
    </font>
    <font>
      <b/>
      <sz val="10"/>
      <color rgb="FFFFFF00"/>
      <name val="Arial"/>
      <family val="2"/>
    </font>
    <font>
      <sz val="10"/>
      <color rgb="FFFFFF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5"/>
      </bottom>
      <diagonal/>
    </border>
    <border>
      <left style="medium">
        <color indexed="64"/>
      </left>
      <right/>
      <top/>
      <bottom style="thin">
        <color indexed="15"/>
      </bottom>
      <diagonal/>
    </border>
    <border>
      <left/>
      <right style="thin">
        <color indexed="64"/>
      </right>
      <top/>
      <bottom style="thin">
        <color indexed="15"/>
      </bottom>
      <diagonal/>
    </border>
    <border>
      <left/>
      <right style="medium">
        <color indexed="64"/>
      </right>
      <top/>
      <bottom style="thin">
        <color indexed="1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6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7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5" fillId="0" borderId="15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7" xfId="0" applyBorder="1" applyAlignment="1">
      <alignment vertical="center"/>
    </xf>
    <xf numFmtId="0" fontId="0" fillId="2" borderId="18" xfId="0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/>
    </xf>
    <xf numFmtId="0" fontId="0" fillId="0" borderId="19" xfId="0" applyNumberFormat="1" applyFont="1" applyFill="1" applyBorder="1" applyAlignment="1">
      <alignment vertical="center" wrapText="1"/>
    </xf>
    <xf numFmtId="0" fontId="0" fillId="0" borderId="20" xfId="0" applyNumberFormat="1" applyFont="1" applyFill="1" applyBorder="1" applyAlignment="1">
      <alignment vertical="center" wrapText="1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1" fillId="0" borderId="7" xfId="0" applyNumberFormat="1" applyFont="1" applyFill="1" applyBorder="1" applyAlignment="1">
      <alignment vertical="center"/>
    </xf>
    <xf numFmtId="0" fontId="0" fillId="0" borderId="25" xfId="0" applyNumberFormat="1" applyFont="1" applyFill="1" applyBorder="1" applyAlignment="1">
      <alignment vertical="center" wrapText="1"/>
    </xf>
    <xf numFmtId="0" fontId="0" fillId="0" borderId="14" xfId="0" applyNumberFormat="1" applyFont="1" applyFill="1" applyBorder="1" applyAlignment="1">
      <alignment vertical="center" wrapText="1"/>
    </xf>
    <xf numFmtId="0" fontId="4" fillId="2" borderId="0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0" borderId="9" xfId="0" applyNumberFormat="1" applyFont="1" applyFill="1" applyBorder="1" applyAlignment="1">
      <alignment horizontal="center" vertical="center" textRotation="90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/>
    <xf numFmtId="20" fontId="0" fillId="0" borderId="0" xfId="0" applyNumberFormat="1" applyAlignment="1">
      <alignment horizont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NumberFormat="1" applyAlignment="1">
      <alignment horizontal="center"/>
    </xf>
    <xf numFmtId="20" fontId="0" fillId="0" borderId="0" xfId="0" applyNumberFormat="1" applyAlignment="1"/>
    <xf numFmtId="0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0" fontId="1" fillId="4" borderId="6" xfId="0" applyNumberFormat="1" applyFont="1" applyFill="1" applyBorder="1" applyAlignment="1" applyProtection="1">
      <alignment horizontal="center" vertical="center"/>
      <protection locked="0"/>
    </xf>
    <xf numFmtId="0" fontId="1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167" fontId="19" fillId="5" borderId="0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Border="1" applyAlignment="1" applyProtection="1">
      <alignment vertical="center"/>
      <protection hidden="1"/>
    </xf>
    <xf numFmtId="0" fontId="1" fillId="3" borderId="15" xfId="0" applyNumberFormat="1" applyFont="1" applyFill="1" applyBorder="1" applyAlignment="1" applyProtection="1">
      <alignment horizontal="left" vertical="center"/>
      <protection locked="0"/>
    </xf>
    <xf numFmtId="0" fontId="1" fillId="3" borderId="22" xfId="0" applyNumberFormat="1" applyFont="1" applyFill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8" fillId="0" borderId="0" xfId="0" applyFont="1" applyAlignment="1" applyProtection="1">
      <alignment vertical="center"/>
      <protection hidden="1"/>
    </xf>
    <xf numFmtId="20" fontId="19" fillId="5" borderId="7" xfId="0" applyNumberFormat="1" applyFont="1" applyFill="1" applyBorder="1" applyAlignment="1" applyProtection="1">
      <alignment horizontal="center" vertical="center"/>
      <protection locked="0" hidden="1"/>
    </xf>
    <xf numFmtId="0" fontId="0" fillId="0" borderId="37" xfId="0" applyBorder="1" applyAlignment="1">
      <alignment vertical="center"/>
    </xf>
    <xf numFmtId="0" fontId="0" fillId="0" borderId="11" xfId="0" applyBorder="1" applyAlignment="1">
      <alignment vertical="center"/>
    </xf>
    <xf numFmtId="0" fontId="19" fillId="5" borderId="0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54" xfId="0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24" xfId="0" applyBorder="1" applyAlignment="1">
      <alignment vertical="center"/>
    </xf>
    <xf numFmtId="0" fontId="19" fillId="0" borderId="41" xfId="0" applyFont="1" applyBorder="1" applyAlignment="1" applyProtection="1">
      <alignment vertical="center"/>
      <protection hidden="1"/>
    </xf>
    <xf numFmtId="0" fontId="0" fillId="0" borderId="23" xfId="0" applyBorder="1" applyAlignment="1">
      <alignment vertical="center"/>
    </xf>
    <xf numFmtId="0" fontId="15" fillId="0" borderId="2" xfId="0" applyFont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19" fillId="0" borderId="11" xfId="0" applyFont="1" applyBorder="1" applyAlignment="1">
      <alignment vertical="center"/>
    </xf>
    <xf numFmtId="0" fontId="19" fillId="0" borderId="11" xfId="0" applyFont="1" applyBorder="1" applyAlignment="1" applyProtection="1">
      <alignment vertical="center"/>
      <protection hidden="1"/>
    </xf>
    <xf numFmtId="0" fontId="17" fillId="0" borderId="21" xfId="0" applyNumberFormat="1" applyFont="1" applyFill="1" applyBorder="1" applyAlignment="1" applyProtection="1">
      <alignment horizontal="center" vertical="center"/>
      <protection hidden="1"/>
    </xf>
    <xf numFmtId="0" fontId="17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22" xfId="0" applyNumberFormat="1" applyFont="1" applyFill="1" applyBorder="1" applyAlignment="1" applyProtection="1">
      <alignment horizontal="center" vertical="center"/>
      <protection hidden="1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1" xfId="0" applyNumberFormat="1" applyFont="1" applyFill="1" applyBorder="1" applyAlignment="1" applyProtection="1">
      <alignment horizontal="left" vertical="center"/>
      <protection locked="0"/>
    </xf>
    <xf numFmtId="0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3" borderId="22" xfId="0" applyNumberFormat="1" applyFont="1" applyFill="1" applyBorder="1" applyAlignment="1" applyProtection="1">
      <alignment horizontal="left" vertical="center"/>
      <protection locked="0"/>
    </xf>
    <xf numFmtId="0" fontId="1" fillId="3" borderId="1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hidden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vertical="center" wrapText="1"/>
    </xf>
    <xf numFmtId="0" fontId="20" fillId="3" borderId="23" xfId="0" applyNumberFormat="1" applyFont="1" applyFill="1" applyBorder="1" applyAlignment="1" applyProtection="1">
      <alignment horizontal="center" vertical="center"/>
      <protection locked="0"/>
    </xf>
    <xf numFmtId="0" fontId="20" fillId="3" borderId="7" xfId="0" applyNumberFormat="1" applyFont="1" applyFill="1" applyBorder="1" applyAlignment="1" applyProtection="1">
      <alignment horizontal="center" vertical="center"/>
      <protection locked="0"/>
    </xf>
    <xf numFmtId="0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4" fillId="0" borderId="29" xfId="0" applyNumberFormat="1" applyFont="1" applyFill="1" applyBorder="1" applyAlignment="1" applyProtection="1">
      <alignment horizontal="center" vertical="center"/>
      <protection hidden="1"/>
    </xf>
    <xf numFmtId="0" fontId="4" fillId="0" borderId="28" xfId="0" applyNumberFormat="1" applyFont="1" applyFill="1" applyBorder="1" applyAlignment="1" applyProtection="1">
      <alignment horizontal="center" vertical="center"/>
      <protection hidden="1"/>
    </xf>
    <xf numFmtId="0" fontId="0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44" xfId="0" applyNumberFormat="1" applyFont="1" applyFill="1" applyBorder="1" applyAlignment="1">
      <alignment horizontal="center" vertical="center" textRotation="90" wrapText="1"/>
    </xf>
    <xf numFmtId="0" fontId="8" fillId="0" borderId="37" xfId="0" applyNumberFormat="1" applyFont="1" applyFill="1" applyBorder="1" applyAlignment="1">
      <alignment horizontal="center" vertical="center" textRotation="90" wrapText="1"/>
    </xf>
    <xf numFmtId="0" fontId="8" fillId="0" borderId="4" xfId="0" applyNumberFormat="1" applyFont="1" applyFill="1" applyBorder="1" applyAlignment="1">
      <alignment horizontal="center" vertical="center" textRotation="90" wrapText="1"/>
    </xf>
    <xf numFmtId="0" fontId="8" fillId="0" borderId="11" xfId="0" applyNumberFormat="1" applyFont="1" applyFill="1" applyBorder="1" applyAlignment="1">
      <alignment horizontal="center" vertical="center" textRotation="90" wrapText="1"/>
    </xf>
    <xf numFmtId="0" fontId="8" fillId="0" borderId="35" xfId="0" applyNumberFormat="1" applyFont="1" applyFill="1" applyBorder="1" applyAlignment="1">
      <alignment horizontal="center" vertical="center" textRotation="90" wrapText="1"/>
    </xf>
    <xf numFmtId="0" fontId="8" fillId="0" borderId="41" xfId="0" applyNumberFormat="1" applyFont="1" applyFill="1" applyBorder="1" applyAlignment="1">
      <alignment horizontal="center" vertical="center" textRotation="90" wrapText="1"/>
    </xf>
    <xf numFmtId="0" fontId="8" fillId="2" borderId="27" xfId="0" applyNumberFormat="1" applyFont="1" applyFill="1" applyBorder="1" applyAlignment="1">
      <alignment horizontal="right" vertical="center"/>
    </xf>
    <xf numFmtId="0" fontId="8" fillId="2" borderId="6" xfId="0" applyNumberFormat="1" applyFont="1" applyFill="1" applyBorder="1" applyAlignment="1">
      <alignment horizontal="right" vertical="center"/>
    </xf>
    <xf numFmtId="0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NumberFormat="1" applyFont="1" applyFill="1" applyBorder="1" applyAlignment="1">
      <alignment horizontal="center" vertical="center" textRotation="90" wrapText="1"/>
    </xf>
    <xf numFmtId="0" fontId="8" fillId="0" borderId="0" xfId="0" applyNumberFormat="1" applyFont="1" applyFill="1" applyBorder="1" applyAlignment="1">
      <alignment horizontal="center" vertical="center" textRotation="90" wrapText="1"/>
    </xf>
    <xf numFmtId="0" fontId="8" fillId="0" borderId="13" xfId="0" applyNumberFormat="1" applyFont="1" applyFill="1" applyBorder="1" applyAlignment="1">
      <alignment horizontal="center" vertical="center" textRotation="90" wrapText="1"/>
    </xf>
    <xf numFmtId="0" fontId="8" fillId="0" borderId="5" xfId="0" applyNumberFormat="1" applyFont="1" applyFill="1" applyBorder="1" applyAlignment="1">
      <alignment horizontal="center" vertical="center" textRotation="90" wrapText="1"/>
    </xf>
    <xf numFmtId="0" fontId="1" fillId="3" borderId="6" xfId="0" applyNumberFormat="1" applyFont="1" applyFill="1" applyBorder="1" applyAlignment="1" applyProtection="1">
      <alignment horizontal="center" vertical="center"/>
      <protection locked="0"/>
    </xf>
    <xf numFmtId="0" fontId="1" fillId="3" borderId="36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" fillId="0" borderId="29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NumberFormat="1" applyFont="1" applyFill="1" applyBorder="1" applyAlignment="1" applyProtection="1">
      <alignment horizontal="center" vertical="center"/>
      <protection locked="0"/>
    </xf>
    <xf numFmtId="0" fontId="1" fillId="0" borderId="40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3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 wrapText="1"/>
    </xf>
    <xf numFmtId="0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 applyProtection="1">
      <alignment horizontal="left" vertical="center"/>
      <protection locked="0"/>
    </xf>
    <xf numFmtId="0" fontId="1" fillId="0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 applyProtection="1">
      <alignment horizontal="center" vertical="center"/>
      <protection hidden="1"/>
    </xf>
    <xf numFmtId="0" fontId="4" fillId="2" borderId="36" xfId="0" applyNumberFormat="1" applyFont="1" applyFill="1" applyBorder="1" applyAlignment="1" applyProtection="1">
      <alignment horizontal="center" vertical="center"/>
      <protection hidden="1"/>
    </xf>
    <xf numFmtId="14" fontId="0" fillId="0" borderId="2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" fillId="3" borderId="2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32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center" vertical="center"/>
    </xf>
    <xf numFmtId="0" fontId="8" fillId="0" borderId="34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36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1" fillId="3" borderId="27" xfId="0" applyNumberFormat="1" applyFont="1" applyFill="1" applyBorder="1" applyAlignment="1" applyProtection="1">
      <alignment horizontal="left" vertical="center"/>
      <protection locked="0"/>
    </xf>
    <xf numFmtId="0" fontId="1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32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vertical="center" wrapText="1"/>
    </xf>
    <xf numFmtId="0" fontId="8" fillId="0" borderId="34" xfId="0" applyNumberFormat="1" applyFont="1" applyFill="1" applyBorder="1" applyAlignment="1">
      <alignment vertical="center" wrapText="1"/>
    </xf>
    <xf numFmtId="0" fontId="4" fillId="0" borderId="27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left" vertical="center"/>
    </xf>
    <xf numFmtId="0" fontId="15" fillId="0" borderId="45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47" xfId="0" applyNumberFormat="1" applyFont="1" applyFill="1" applyBorder="1" applyAlignment="1" applyProtection="1">
      <alignment horizontal="center" vertical="center"/>
      <protection locked="0"/>
    </xf>
    <xf numFmtId="0" fontId="1" fillId="3" borderId="45" xfId="0" applyNumberFormat="1" applyFont="1" applyFill="1" applyBorder="1" applyAlignment="1" applyProtection="1">
      <alignment horizontal="center" vertical="center"/>
      <protection locked="0"/>
    </xf>
    <xf numFmtId="0" fontId="1" fillId="3" borderId="49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NumberFormat="1" applyFont="1" applyFill="1" applyBorder="1" applyAlignment="1">
      <alignment horizontal="left" vertical="center"/>
    </xf>
    <xf numFmtId="0" fontId="4" fillId="0" borderId="38" xfId="0" applyNumberFormat="1" applyFont="1" applyFill="1" applyBorder="1" applyAlignment="1">
      <alignment horizontal="left" vertical="center"/>
    </xf>
    <xf numFmtId="0" fontId="8" fillId="0" borderId="31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33" xfId="0" applyNumberFormat="1" applyFont="1" applyFill="1" applyBorder="1" applyAlignment="1" applyProtection="1">
      <alignment horizontal="center" vertical="center"/>
      <protection locked="0"/>
    </xf>
    <xf numFmtId="0" fontId="4" fillId="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2" xfId="0" applyNumberFormat="1" applyFont="1" applyFill="1" applyBorder="1" applyAlignment="1" applyProtection="1">
      <alignment horizontal="center" vertical="center"/>
    </xf>
    <xf numFmtId="49" fontId="16" fillId="3" borderId="6" xfId="5" applyNumberFormat="1" applyFill="1" applyBorder="1" applyAlignment="1" applyProtection="1">
      <alignment horizontal="left" vertical="center" wrapText="1"/>
      <protection locked="0"/>
    </xf>
    <xf numFmtId="49" fontId="6" fillId="3" borderId="6" xfId="4" applyNumberFormat="1" applyFont="1" applyFill="1" applyBorder="1" applyAlignment="1" applyProtection="1">
      <alignment horizontal="left" vertical="center" wrapText="1"/>
      <protection locked="0"/>
    </xf>
    <xf numFmtId="49" fontId="6" fillId="3" borderId="36" xfId="4" applyNumberFormat="1" applyFont="1" applyFill="1" applyBorder="1" applyAlignment="1" applyProtection="1">
      <alignment horizontal="left" vertical="center" wrapText="1"/>
      <protection locked="0"/>
    </xf>
    <xf numFmtId="0" fontId="8" fillId="2" borderId="2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2" xfId="0" applyNumberFormat="1" applyFont="1" applyFill="1" applyBorder="1" applyAlignment="1" applyProtection="1">
      <alignment horizontal="center" vertical="center" wrapText="1"/>
    </xf>
    <xf numFmtId="0" fontId="1" fillId="3" borderId="47" xfId="0" applyNumberFormat="1" applyFont="1" applyFill="1" applyBorder="1" applyAlignment="1" applyProtection="1">
      <alignment horizontal="left" vertical="center"/>
      <protection locked="0"/>
    </xf>
    <xf numFmtId="0" fontId="1" fillId="3" borderId="45" xfId="0" applyNumberFormat="1" applyFont="1" applyFill="1" applyBorder="1" applyAlignment="1" applyProtection="1">
      <alignment horizontal="left" vertical="center"/>
      <protection locked="0"/>
    </xf>
    <xf numFmtId="0" fontId="1" fillId="3" borderId="48" xfId="0" applyNumberFormat="1" applyFont="1" applyFill="1" applyBorder="1" applyAlignment="1" applyProtection="1">
      <alignment horizontal="left" vertical="center"/>
      <protection locked="0"/>
    </xf>
    <xf numFmtId="0" fontId="4" fillId="0" borderId="38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8" fillId="0" borderId="43" xfId="0" applyNumberFormat="1" applyFont="1" applyFill="1" applyBorder="1" applyAlignment="1" applyProtection="1">
      <alignment horizontal="left" vertical="center" wrapText="1"/>
    </xf>
    <xf numFmtId="49" fontId="1" fillId="3" borderId="6" xfId="0" applyNumberFormat="1" applyFont="1" applyFill="1" applyBorder="1" applyAlignment="1" applyProtection="1">
      <alignment horizontal="left" vertical="center"/>
      <protection locked="0"/>
    </xf>
    <xf numFmtId="49" fontId="1" fillId="3" borderId="2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4" fillId="0" borderId="42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3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0" xfId="0" applyNumberFormat="1" applyFont="1" applyFill="1" applyBorder="1" applyAlignment="1">
      <alignment horizontal="center" vertical="center" wrapText="1"/>
    </xf>
    <xf numFmtId="165" fontId="0" fillId="4" borderId="6" xfId="0" applyNumberFormat="1" applyFont="1" applyFill="1" applyBorder="1" applyAlignment="1" applyProtection="1">
      <alignment horizontal="center" vertical="center" wrapText="1"/>
      <protection locked="0"/>
    </xf>
    <xf numFmtId="166" fontId="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</xf>
    <xf numFmtId="0" fontId="8" fillId="6" borderId="1" xfId="0" applyNumberFormat="1" applyFont="1" applyFill="1" applyBorder="1" applyAlignment="1" applyProtection="1">
      <alignment horizontal="center" vertical="center" wrapText="1"/>
    </xf>
    <xf numFmtId="0" fontId="8" fillId="6" borderId="22" xfId="0" applyNumberFormat="1" applyFont="1" applyFill="1" applyBorder="1" applyAlignment="1" applyProtection="1">
      <alignment horizontal="center" vertical="center" wrapText="1"/>
    </xf>
    <xf numFmtId="164" fontId="0" fillId="4" borderId="21" xfId="4" applyNumberFormat="1" applyFont="1" applyFill="1" applyBorder="1" applyAlignment="1" applyProtection="1">
      <alignment horizontal="center" vertical="center" wrapText="1"/>
      <protection locked="0"/>
    </xf>
    <xf numFmtId="164" fontId="6" fillId="4" borderId="1" xfId="4" applyNumberFormat="1" applyFont="1" applyFill="1" applyBorder="1" applyAlignment="1" applyProtection="1">
      <alignment horizontal="center" vertical="center" wrapText="1"/>
      <protection locked="0"/>
    </xf>
    <xf numFmtId="164" fontId="6" fillId="4" borderId="16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15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NumberFormat="1" applyFont="1" applyFill="1" applyBorder="1" applyAlignment="1" applyProtection="1">
      <alignment horizontal="left" vertical="center"/>
      <protection locked="0"/>
    </xf>
    <xf numFmtId="0" fontId="0" fillId="3" borderId="22" xfId="0" applyNumberFormat="1" applyFont="1" applyFill="1" applyBorder="1" applyAlignment="1" applyProtection="1">
      <alignment horizontal="left" vertical="center"/>
      <protection locked="0"/>
    </xf>
    <xf numFmtId="0" fontId="8" fillId="0" borderId="31" xfId="0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right" vertical="center"/>
    </xf>
    <xf numFmtId="0" fontId="8" fillId="0" borderId="40" xfId="0" applyFont="1" applyFill="1" applyBorder="1" applyAlignment="1">
      <alignment horizontal="right" vertical="center"/>
    </xf>
    <xf numFmtId="0" fontId="1" fillId="3" borderId="6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8" fillId="0" borderId="46" xfId="0" applyFont="1" applyFill="1" applyBorder="1" applyAlignment="1" applyProtection="1">
      <alignment horizontal="center" vertical="center"/>
      <protection hidden="1"/>
    </xf>
    <xf numFmtId="0" fontId="8" fillId="0" borderId="13" xfId="0" applyFont="1" applyFill="1" applyBorder="1" applyAlignment="1" applyProtection="1">
      <alignment horizontal="center" vertical="center"/>
      <protection hidden="1"/>
    </xf>
    <xf numFmtId="0" fontId="8" fillId="0" borderId="5" xfId="0" applyFont="1" applyFill="1" applyBorder="1" applyAlignment="1" applyProtection="1">
      <alignment horizontal="center" vertical="center"/>
      <protection hidden="1"/>
    </xf>
    <xf numFmtId="0" fontId="8" fillId="0" borderId="25" xfId="0" applyFont="1" applyFill="1" applyBorder="1" applyAlignment="1" applyProtection="1">
      <alignment horizontal="center" vertical="center"/>
      <protection hidden="1"/>
    </xf>
    <xf numFmtId="0" fontId="4" fillId="2" borderId="50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5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5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5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8" fillId="2" borderId="42" xfId="0" applyNumberFormat="1" applyFont="1" applyFill="1" applyBorder="1" applyAlignment="1">
      <alignment horizontal="right" vertical="center"/>
    </xf>
    <xf numFmtId="0" fontId="8" fillId="2" borderId="12" xfId="0" applyNumberFormat="1" applyFont="1" applyFill="1" applyBorder="1" applyAlignment="1">
      <alignment horizontal="right" vertical="center"/>
    </xf>
    <xf numFmtId="0" fontId="4" fillId="2" borderId="12" xfId="0" applyNumberFormat="1" applyFont="1" applyFill="1" applyBorder="1" applyAlignment="1" applyProtection="1">
      <alignment horizontal="center" vertical="center"/>
      <protection hidden="1"/>
    </xf>
    <xf numFmtId="0" fontId="4" fillId="2" borderId="43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</cellXfs>
  <cellStyles count="6">
    <cellStyle name="Comma" xfId="4" builtinId="3"/>
    <cellStyle name="Excel Built-in Normal" xfId="1"/>
    <cellStyle name="Hyperlink" xfId="5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C0C0C0"/>
      <rgbColor rgb="0099CCFF"/>
      <rgbColor rgb="00993300"/>
      <rgbColor rgb="00969696"/>
      <rgbColor rgb="00CCFFFF"/>
      <rgbColor rgb="00FFFFFF"/>
      <rgbColor rgb="00FFFF9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BU$14" lockText="1"/>
</file>

<file path=xl/ctrlProps/ctrlProp2.xml><?xml version="1.0" encoding="utf-8"?>
<formControlPr xmlns="http://schemas.microsoft.com/office/spreadsheetml/2009/9/main" objectType="GBox"/>
</file>

<file path=xl/ctrlProps/ctrlProp3.xml><?xml version="1.0" encoding="utf-8"?>
<formControlPr xmlns="http://schemas.microsoft.com/office/spreadsheetml/2009/9/main" objectType="CheckBox" fmlaLink="$BU$18" lockText="1" noThreeD="1"/>
</file>

<file path=xl/ctrlProps/ctrlProp4.xml><?xml version="1.0" encoding="utf-8"?>
<formControlPr xmlns="http://schemas.microsoft.com/office/spreadsheetml/2009/9/main" objectType="CheckBox" fmlaLink="$BU$18" lockText="1" noThreeD="1"/>
</file>

<file path=xl/ctrlProps/ctrlProp5.xml><?xml version="1.0" encoding="utf-8"?>
<formControlPr xmlns="http://schemas.microsoft.com/office/spreadsheetml/2009/9/main" objectType="CheckBox" fmlaLink="$BW$38" lockText="1" noThreeD="1"/>
</file>

<file path=xl/ctrlProps/ctrlProp6.xml><?xml version="1.0" encoding="utf-8"?>
<formControlPr xmlns="http://schemas.microsoft.com/office/spreadsheetml/2009/9/main" objectType="Spin" dx="16" fmlaLink="$BU$43" inc="5" max="480" min="360" page="10" val="420"/>
</file>

<file path=xl/ctrlProps/ctrlProp7.xml><?xml version="1.0" encoding="utf-8"?>
<formControlPr xmlns="http://schemas.microsoft.com/office/spreadsheetml/2009/9/main" objectType="Spin" dx="16" fmlaLink="$BU$51" inc="5" max="840" min="720" page="10" val="740"/>
</file>

<file path=xl/ctrlProps/ctrlProp8.xml><?xml version="1.0" encoding="utf-8"?>
<formControlPr xmlns="http://schemas.microsoft.com/office/spreadsheetml/2009/9/main" objectType="Spin" dx="16" fmlaLink="$BU$59" inc="5" max="1140" min="1020" page="10" val="1090"/>
</file>

<file path=xl/ctrlProps/ctrlProp9.xml><?xml version="1.0" encoding="utf-8"?>
<formControlPr xmlns="http://schemas.microsoft.com/office/spreadsheetml/2009/9/main" objectType="Radio" checked="Checked" lockText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R134"/>
  <sheetViews>
    <sheetView showGridLines="0" tabSelected="1" view="pageBreakPreview" zoomScaleSheetLayoutView="100" zoomScalePageLayoutView="70" workbookViewId="0">
      <selection activeCell="J13" sqref="J13:M13"/>
    </sheetView>
  </sheetViews>
  <sheetFormatPr defaultColWidth="3" defaultRowHeight="15.75" customHeight="1"/>
  <cols>
    <col min="1" max="1" width="3" style="10"/>
    <col min="2" max="2" width="3" style="10" customWidth="1"/>
    <col min="3" max="3" width="4.5703125" style="10" customWidth="1"/>
    <col min="4" max="4" width="3.42578125" style="10" customWidth="1"/>
    <col min="5" max="32" width="3" style="10" customWidth="1"/>
    <col min="33" max="56" width="3" style="10" hidden="1" customWidth="1"/>
    <col min="57" max="58" width="3" style="10" customWidth="1"/>
    <col min="59" max="60" width="3" style="10"/>
    <col min="61" max="61" width="7.85546875" style="10" customWidth="1"/>
    <col min="62" max="68" width="9.85546875" style="10" customWidth="1"/>
    <col min="69" max="71" width="3" style="10" customWidth="1"/>
    <col min="72" max="72" width="36.85546875" style="29" hidden="1" customWidth="1"/>
    <col min="73" max="73" width="12.28515625" style="29" hidden="1" customWidth="1"/>
    <col min="74" max="74" width="6.42578125" style="29" hidden="1" customWidth="1"/>
    <col min="75" max="82" width="7.42578125" style="10" hidden="1" customWidth="1"/>
    <col min="83" max="88" width="3" style="10" hidden="1" customWidth="1"/>
    <col min="89" max="16384" width="3" style="10"/>
  </cols>
  <sheetData>
    <row r="1" spans="2:76" ht="15.75" customHeight="1">
      <c r="B1" s="137" t="s">
        <v>32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9"/>
    </row>
    <row r="2" spans="2:76" ht="15.75" customHeight="1" thickBot="1">
      <c r="B2" s="153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5"/>
      <c r="BT2" s="29" t="s">
        <v>35</v>
      </c>
    </row>
    <row r="3" spans="2:76" ht="15.75" customHeight="1" thickBot="1">
      <c r="B3" s="11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7"/>
      <c r="BI3" s="267" t="s">
        <v>78</v>
      </c>
      <c r="BJ3" s="267"/>
      <c r="BK3" s="267"/>
      <c r="BL3" s="267"/>
      <c r="BM3" s="267"/>
      <c r="BN3" s="267"/>
      <c r="BO3" s="267"/>
      <c r="BP3" s="267"/>
      <c r="BT3" s="29" t="s">
        <v>36</v>
      </c>
      <c r="BU3" s="8" t="s">
        <v>76</v>
      </c>
    </row>
    <row r="4" spans="2:76" ht="15.75" customHeight="1">
      <c r="B4" s="12"/>
      <c r="C4" s="190" t="s">
        <v>27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2"/>
      <c r="AG4" s="68"/>
      <c r="AH4" s="13" t="s">
        <v>15</v>
      </c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14"/>
      <c r="BE4" s="15"/>
      <c r="BF4" s="16"/>
      <c r="BJ4" s="36"/>
      <c r="BK4" s="36"/>
      <c r="BL4" s="36"/>
      <c r="BM4" s="36"/>
      <c r="BN4" s="36"/>
      <c r="BO4" s="36"/>
      <c r="BP4" s="36"/>
      <c r="BT4" s="29" t="s">
        <v>37</v>
      </c>
      <c r="BU4" s="8"/>
    </row>
    <row r="5" spans="2:76" ht="15.75" customHeight="1" thickBot="1">
      <c r="B5" s="12"/>
      <c r="C5" s="202" t="s">
        <v>84</v>
      </c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4"/>
      <c r="AG5" s="68"/>
      <c r="AH5" s="13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14"/>
      <c r="BE5" s="15"/>
      <c r="BF5" s="16"/>
      <c r="BJ5" s="36"/>
      <c r="BK5" s="36"/>
      <c r="BL5" s="36"/>
      <c r="BM5" s="36"/>
      <c r="BN5" s="36"/>
      <c r="BO5" s="36"/>
      <c r="BP5" s="36"/>
      <c r="BT5" s="29" t="s">
        <v>38</v>
      </c>
      <c r="BU5" s="29" t="s">
        <v>77</v>
      </c>
    </row>
    <row r="6" spans="2:76" ht="15.75" customHeight="1" thickBot="1">
      <c r="B6" s="12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68"/>
      <c r="AH6" s="13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8"/>
      <c r="BE6" s="15"/>
      <c r="BF6" s="16"/>
      <c r="BJ6" s="36"/>
      <c r="BK6" s="36"/>
      <c r="BL6" s="36"/>
      <c r="BM6" s="36"/>
      <c r="BN6" s="36"/>
      <c r="BO6" s="36"/>
      <c r="BP6" s="36"/>
      <c r="BT6" s="29" t="s">
        <v>39</v>
      </c>
      <c r="BU6" s="8">
        <v>1</v>
      </c>
      <c r="BV6" s="29" t="str">
        <f>IF(I13="","",1)</f>
        <v/>
      </c>
      <c r="BW6" s="10" t="str">
        <f>IF(BV6=1,20,"")</f>
        <v/>
      </c>
    </row>
    <row r="7" spans="2:76" ht="15.75" customHeight="1" thickBot="1">
      <c r="B7" s="12"/>
      <c r="C7" s="200" t="s">
        <v>29</v>
      </c>
      <c r="D7" s="201"/>
      <c r="E7" s="201"/>
      <c r="F7" s="217" t="s">
        <v>41</v>
      </c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9"/>
      <c r="U7" s="220" t="s">
        <v>30</v>
      </c>
      <c r="V7" s="220"/>
      <c r="W7" s="220"/>
      <c r="X7" s="220"/>
      <c r="Y7" s="220"/>
      <c r="Z7" s="220"/>
      <c r="AA7" s="197" t="s">
        <v>128</v>
      </c>
      <c r="AB7" s="198"/>
      <c r="AC7" s="198"/>
      <c r="AD7" s="198"/>
      <c r="AE7" s="198"/>
      <c r="AF7" s="199"/>
      <c r="AG7" s="68"/>
      <c r="AH7" s="13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8"/>
      <c r="BE7" s="15"/>
      <c r="BF7" s="16"/>
      <c r="BJ7" s="36"/>
      <c r="BK7" s="36"/>
      <c r="BL7" s="36"/>
      <c r="BM7" s="36"/>
      <c r="BN7" s="36"/>
      <c r="BO7" s="36"/>
      <c r="BP7" s="36"/>
      <c r="BT7" s="29" t="s">
        <v>40</v>
      </c>
      <c r="BU7" s="8">
        <v>2</v>
      </c>
      <c r="BV7" s="29" t="str">
        <f>IF(N13="","",1)</f>
        <v/>
      </c>
      <c r="BW7" s="10" t="str">
        <f>IF(BV7=1,40,"")</f>
        <v/>
      </c>
    </row>
    <row r="8" spans="2:76" ht="15.75" customHeight="1" thickBot="1">
      <c r="B8" s="12"/>
      <c r="C8" s="69"/>
      <c r="D8" s="6"/>
      <c r="E8" s="6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"/>
      <c r="V8" s="71"/>
      <c r="W8" s="71"/>
      <c r="X8" s="71"/>
      <c r="Y8" s="71"/>
      <c r="Z8" s="71"/>
      <c r="AA8" s="2"/>
      <c r="AB8" s="2"/>
      <c r="AC8" s="2"/>
      <c r="AD8" s="2"/>
      <c r="AE8" s="2"/>
      <c r="AF8" s="2"/>
      <c r="AG8" s="68"/>
      <c r="AH8" s="13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8"/>
      <c r="BE8" s="15"/>
      <c r="BF8" s="16"/>
      <c r="BI8" s="268" t="str">
        <f>IF(BV11=0,"","Pelo regime de trabalho selecionado e pela duração da hora-aula o docente poderá ministrar até")</f>
        <v>Pelo regime de trabalho selecionado e pela duração da hora-aula o docente poderá ministrar até</v>
      </c>
      <c r="BJ8" s="268"/>
      <c r="BK8" s="268"/>
      <c r="BL8" s="268"/>
      <c r="BM8" s="268"/>
      <c r="BN8" s="268"/>
      <c r="BO8" s="268"/>
      <c r="BP8" s="268"/>
      <c r="BT8" s="29" t="s">
        <v>41</v>
      </c>
      <c r="BU8" s="8">
        <v>3</v>
      </c>
      <c r="BV8" s="29">
        <f>IF(S13="","",1)</f>
        <v>1</v>
      </c>
      <c r="BW8" s="10">
        <f>IF(BV8=1,40,"")</f>
        <v>40</v>
      </c>
    </row>
    <row r="9" spans="2:76" ht="15.75" customHeight="1">
      <c r="B9" s="12"/>
      <c r="C9" s="205" t="s">
        <v>33</v>
      </c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7"/>
      <c r="AG9" s="68"/>
      <c r="AH9" s="13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8"/>
      <c r="BE9" s="15"/>
      <c r="BF9" s="16"/>
      <c r="BI9" s="268"/>
      <c r="BJ9" s="268"/>
      <c r="BK9" s="268"/>
      <c r="BL9" s="268"/>
      <c r="BM9" s="268"/>
      <c r="BN9" s="268"/>
      <c r="BO9" s="268"/>
      <c r="BP9" s="268"/>
      <c r="BT9" s="29" t="s">
        <v>42</v>
      </c>
      <c r="BU9" s="8">
        <v>4</v>
      </c>
      <c r="BV9" s="29" t="str">
        <f>IF(W13="","",1)</f>
        <v/>
      </c>
    </row>
    <row r="10" spans="2:76" ht="15.75" customHeight="1">
      <c r="B10" s="12"/>
      <c r="C10" s="193" t="s">
        <v>28</v>
      </c>
      <c r="D10" s="194"/>
      <c r="E10" s="194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08" t="s">
        <v>105</v>
      </c>
      <c r="V10" s="209"/>
      <c r="W10" s="209"/>
      <c r="X10" s="209"/>
      <c r="Y10" s="209"/>
      <c r="Z10" s="210"/>
      <c r="AA10" s="224"/>
      <c r="AB10" s="225"/>
      <c r="AC10" s="225"/>
      <c r="AD10" s="225"/>
      <c r="AE10" s="225"/>
      <c r="AF10" s="226"/>
      <c r="AG10" s="68"/>
      <c r="AH10" s="13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8"/>
      <c r="BE10" s="15"/>
      <c r="BF10" s="16"/>
      <c r="BJ10" s="36"/>
      <c r="BK10" s="36"/>
      <c r="BL10" s="73">
        <f>IF(BV11=0,"",IF($BV$6=1,ROUND(8/$BU$15*60,0),ROUND(12/$BU$15*60,0)))</f>
        <v>14</v>
      </c>
      <c r="BM10" s="86" t="str">
        <f>IF(BI11="","","aulas.")</f>
        <v>aulas.</v>
      </c>
      <c r="BN10" s="36"/>
      <c r="BO10" s="36"/>
      <c r="BP10" s="36"/>
      <c r="BT10" s="29" t="s">
        <v>43</v>
      </c>
      <c r="BU10" s="8">
        <v>5</v>
      </c>
      <c r="BV10" s="29" t="str">
        <f>IF(AB13="","",1)</f>
        <v/>
      </c>
    </row>
    <row r="11" spans="2:76" ht="15.75" customHeight="1">
      <c r="B11" s="12"/>
      <c r="C11" s="193" t="s">
        <v>22</v>
      </c>
      <c r="D11" s="194"/>
      <c r="E11" s="194"/>
      <c r="F11" s="223"/>
      <c r="G11" s="223"/>
      <c r="H11" s="223"/>
      <c r="I11" s="223"/>
      <c r="J11" s="223"/>
      <c r="K11" s="223"/>
      <c r="L11" s="223"/>
      <c r="M11" s="223"/>
      <c r="N11" s="208" t="s">
        <v>14</v>
      </c>
      <c r="O11" s="209"/>
      <c r="P11" s="210"/>
      <c r="Q11" s="211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3"/>
      <c r="AG11" s="13" t="s">
        <v>16</v>
      </c>
      <c r="AH11" s="13" t="s">
        <v>21</v>
      </c>
      <c r="AI11" s="17" t="s">
        <v>19</v>
      </c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14"/>
      <c r="BE11" s="15"/>
      <c r="BF11" s="16"/>
      <c r="BI11" s="268" t="str">
        <f>IF(BV11=0,"","a menos que queira dedicar-se prioritariamente a atividades de ensino.")</f>
        <v>a menos que queira dedicar-se prioritariamente a atividades de ensino.</v>
      </c>
      <c r="BJ11" s="268"/>
      <c r="BK11" s="268"/>
      <c r="BL11" s="268"/>
      <c r="BM11" s="268"/>
      <c r="BN11" s="268"/>
      <c r="BO11" s="268"/>
      <c r="BP11" s="268"/>
      <c r="BT11" s="29" t="s">
        <v>44</v>
      </c>
      <c r="BV11" s="10">
        <f>SUM(BV6:BV10)</f>
        <v>1</v>
      </c>
      <c r="BW11" s="10">
        <f>SUM(BW6:BW10)</f>
        <v>40</v>
      </c>
    </row>
    <row r="12" spans="2:76" ht="15.75" customHeight="1">
      <c r="B12" s="12"/>
      <c r="C12" s="193" t="s">
        <v>5</v>
      </c>
      <c r="D12" s="194"/>
      <c r="E12" s="194"/>
      <c r="F12" s="236"/>
      <c r="G12" s="236"/>
      <c r="H12" s="236"/>
      <c r="I12" s="236"/>
      <c r="J12" s="236"/>
      <c r="K12" s="214" t="s">
        <v>11</v>
      </c>
      <c r="L12" s="215"/>
      <c r="M12" s="215"/>
      <c r="N12" s="216"/>
      <c r="O12" s="235"/>
      <c r="P12" s="235"/>
      <c r="Q12" s="235"/>
      <c r="R12" s="235"/>
      <c r="S12" s="235"/>
      <c r="T12" s="235"/>
      <c r="U12" s="237" t="s">
        <v>99</v>
      </c>
      <c r="V12" s="238"/>
      <c r="W12" s="239"/>
      <c r="X12" s="240"/>
      <c r="Y12" s="241"/>
      <c r="Z12" s="241"/>
      <c r="AA12" s="241"/>
      <c r="AB12" s="241"/>
      <c r="AC12" s="241"/>
      <c r="AD12" s="241"/>
      <c r="AE12" s="241"/>
      <c r="AF12" s="242"/>
      <c r="AG12" s="18" t="s">
        <v>12</v>
      </c>
      <c r="AH12" s="69"/>
      <c r="AI12" s="17" t="s">
        <v>13</v>
      </c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14"/>
      <c r="BE12" s="15"/>
      <c r="BF12" s="16"/>
      <c r="BI12" s="268" t="str">
        <f>IF(BV11=0,"","Se pretende dedicar-se prioritarimente a atividades de ensino, marque a caixa abaixo")</f>
        <v>Se pretende dedicar-se prioritarimente a atividades de ensino, marque a caixa abaixo</v>
      </c>
      <c r="BJ12" s="268"/>
      <c r="BK12" s="268"/>
      <c r="BL12" s="268"/>
      <c r="BM12" s="268"/>
      <c r="BN12" s="268"/>
      <c r="BO12" s="268"/>
      <c r="BP12" s="268"/>
      <c r="BT12" s="29" t="s">
        <v>45</v>
      </c>
    </row>
    <row r="13" spans="2:76" ht="15.75" customHeight="1" thickBot="1">
      <c r="B13" s="12"/>
      <c r="C13" s="228" t="s">
        <v>2</v>
      </c>
      <c r="D13" s="221"/>
      <c r="E13" s="221"/>
      <c r="F13" s="221"/>
      <c r="G13" s="221"/>
      <c r="H13" s="221"/>
      <c r="I13" s="9"/>
      <c r="J13" s="227" t="s">
        <v>72</v>
      </c>
      <c r="K13" s="227"/>
      <c r="L13" s="227"/>
      <c r="M13" s="227"/>
      <c r="N13" s="9"/>
      <c r="O13" s="227" t="s">
        <v>104</v>
      </c>
      <c r="P13" s="227"/>
      <c r="Q13" s="227"/>
      <c r="R13" s="227"/>
      <c r="S13" s="9" t="s">
        <v>76</v>
      </c>
      <c r="T13" s="195" t="s">
        <v>73</v>
      </c>
      <c r="U13" s="195"/>
      <c r="V13" s="195"/>
      <c r="W13" s="9"/>
      <c r="X13" s="227" t="s">
        <v>74</v>
      </c>
      <c r="Y13" s="227"/>
      <c r="Z13" s="227"/>
      <c r="AA13" s="227"/>
      <c r="AB13" s="9"/>
      <c r="AC13" s="221" t="s">
        <v>75</v>
      </c>
      <c r="AD13" s="221"/>
      <c r="AE13" s="221"/>
      <c r="AF13" s="222"/>
      <c r="AG13" s="18" t="s">
        <v>10</v>
      </c>
      <c r="AH13" s="69"/>
      <c r="AI13" s="17" t="s">
        <v>13</v>
      </c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14"/>
      <c r="BE13" s="15"/>
      <c r="BF13" s="16"/>
      <c r="BT13" s="29" t="s">
        <v>46</v>
      </c>
      <c r="BU13" s="29" t="s">
        <v>79</v>
      </c>
      <c r="BX13" s="10" t="s">
        <v>106</v>
      </c>
    </row>
    <row r="14" spans="2:76" ht="15.75" customHeight="1" thickBot="1">
      <c r="B14" s="12"/>
      <c r="C14" s="196" t="str">
        <f>IF(AND(I13="",N13="",S13="",W13="",AB13=""),"Selecione seu regime de trabalho.",IF(AND(BV9=1,BV10=1),"O docente não pode ser substituto e temporário ao mesmo tempo",IF(AND(BV6=1,BV7=1),"O docente não pode ser 20h e 40h ao mesmo tempo",IF(AND(BV7=1,BV8=1),"O docente RDE já possui regime de 40h. Não precisa marcar o 40h se for RDE",IF(OR(BV9=1,BV10=1)*AND(BV8=1),"O docente substituto ou temporário não pode ser RDE",IF(AND(BV6=1,BV8=1),"O docente RDE tem regime de 40h, então não pode ser 20h",""))))))</f>
        <v/>
      </c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69"/>
      <c r="AH14" s="69"/>
      <c r="AI14" s="17" t="s">
        <v>13</v>
      </c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14"/>
      <c r="BE14" s="15"/>
      <c r="BF14" s="16"/>
      <c r="BI14" s="83"/>
      <c r="BJ14" s="83"/>
      <c r="BK14" s="83"/>
      <c r="BL14" s="83"/>
      <c r="BM14" s="83"/>
      <c r="BN14" s="83"/>
      <c r="BO14" s="83"/>
      <c r="BP14" s="83"/>
      <c r="BT14" s="29" t="s">
        <v>47</v>
      </c>
      <c r="BU14" s="8">
        <v>2</v>
      </c>
      <c r="BX14" s="10" t="str">
        <f>AE78</f>
        <v/>
      </c>
    </row>
    <row r="15" spans="2:76" ht="15.75" customHeight="1">
      <c r="B15" s="12"/>
      <c r="C15" s="229" t="s">
        <v>31</v>
      </c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1"/>
      <c r="AG15" s="69"/>
      <c r="AH15" s="69"/>
      <c r="AI15" s="17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14"/>
      <c r="BE15" s="15"/>
      <c r="BF15" s="16"/>
      <c r="BI15" s="268" t="str">
        <f>IF(BV11=0,"",IF(BU19=1,"Neste caso, o docente deverá ministrar, no máximo,",""))</f>
        <v/>
      </c>
      <c r="BJ15" s="268"/>
      <c r="BK15" s="268"/>
      <c r="BL15" s="268"/>
      <c r="BM15" s="268"/>
      <c r="BN15" s="268"/>
      <c r="BO15" s="268"/>
      <c r="BP15" s="268"/>
      <c r="BT15" s="29" t="s">
        <v>48</v>
      </c>
      <c r="BU15" s="8">
        <f>IF(BU14=1,45,50)</f>
        <v>50</v>
      </c>
    </row>
    <row r="16" spans="2:76" ht="15.75" customHeight="1">
      <c r="B16" s="12"/>
      <c r="C16" s="232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4"/>
      <c r="AG16" s="69"/>
      <c r="AH16" s="69"/>
      <c r="AI16" s="17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14"/>
      <c r="BE16" s="15"/>
      <c r="BF16" s="16"/>
      <c r="BJ16" s="36"/>
      <c r="BK16" s="36"/>
      <c r="BL16" s="85" t="str">
        <f>IF(BV11=0,"",IF(BU19=1,IF($BV$6=1,ROUND(8/$BU$15*60,0),ROUND(16/$BU$15*60,0)),""))</f>
        <v/>
      </c>
      <c r="BM16" s="84" t="str">
        <f>IF(BV11=0,"",IF(BU19=1,"aulas",""))</f>
        <v/>
      </c>
      <c r="BN16" s="36"/>
      <c r="BO16" s="36"/>
      <c r="BP16" s="36"/>
      <c r="BT16" s="29" t="s">
        <v>49</v>
      </c>
    </row>
    <row r="17" spans="2:82" ht="15.75" customHeight="1">
      <c r="B17" s="12"/>
      <c r="C17" s="98" t="s">
        <v>24</v>
      </c>
      <c r="D17" s="99"/>
      <c r="E17" s="119" t="s">
        <v>23</v>
      </c>
      <c r="F17" s="119"/>
      <c r="G17" s="119"/>
      <c r="H17" s="119"/>
      <c r="I17" s="110" t="s">
        <v>20</v>
      </c>
      <c r="J17" s="111"/>
      <c r="K17" s="111"/>
      <c r="L17" s="111"/>
      <c r="M17" s="110" t="s">
        <v>0</v>
      </c>
      <c r="N17" s="111"/>
      <c r="O17" s="111"/>
      <c r="P17" s="111"/>
      <c r="Q17" s="110" t="s">
        <v>3</v>
      </c>
      <c r="R17" s="111"/>
      <c r="S17" s="111"/>
      <c r="T17" s="111"/>
      <c r="U17" s="110" t="s">
        <v>9</v>
      </c>
      <c r="V17" s="111"/>
      <c r="W17" s="111"/>
      <c r="X17" s="111"/>
      <c r="Y17" s="110" t="s">
        <v>6</v>
      </c>
      <c r="Z17" s="111"/>
      <c r="AA17" s="111"/>
      <c r="AB17" s="111"/>
      <c r="AC17" s="110" t="s">
        <v>4</v>
      </c>
      <c r="AD17" s="111"/>
      <c r="AE17" s="111"/>
      <c r="AF17" s="112"/>
      <c r="AG17" s="68"/>
      <c r="AH17" s="69"/>
      <c r="AI17" s="17" t="s">
        <v>13</v>
      </c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14"/>
      <c r="BE17" s="15"/>
      <c r="BF17" s="16"/>
      <c r="BK17" s="83"/>
      <c r="BN17" s="83"/>
      <c r="BO17" s="83"/>
      <c r="BP17" s="83"/>
      <c r="BT17" s="29" t="s">
        <v>50</v>
      </c>
      <c r="BU17" s="29" t="s">
        <v>80</v>
      </c>
    </row>
    <row r="18" spans="2:82" ht="15.75" customHeight="1">
      <c r="B18" s="12"/>
      <c r="C18" s="120" t="s">
        <v>25</v>
      </c>
      <c r="D18" s="121"/>
      <c r="E18" s="95">
        <f>IF($BW$39=0,1,BT42)</f>
        <v>1</v>
      </c>
      <c r="F18" s="96"/>
      <c r="G18" s="96"/>
      <c r="H18" s="97"/>
      <c r="I18" s="58"/>
      <c r="J18" s="103"/>
      <c r="K18" s="104"/>
      <c r="L18" s="104"/>
      <c r="M18" s="58"/>
      <c r="N18" s="103"/>
      <c r="O18" s="104"/>
      <c r="P18" s="104"/>
      <c r="Q18" s="58"/>
      <c r="R18" s="103"/>
      <c r="S18" s="104"/>
      <c r="T18" s="104"/>
      <c r="U18" s="58"/>
      <c r="V18" s="103"/>
      <c r="W18" s="104"/>
      <c r="X18" s="104"/>
      <c r="Y18" s="58"/>
      <c r="Z18" s="103"/>
      <c r="AA18" s="104"/>
      <c r="AB18" s="104"/>
      <c r="AC18" s="58"/>
      <c r="AD18" s="103"/>
      <c r="AE18" s="104"/>
      <c r="AF18" s="118"/>
      <c r="AG18" s="68"/>
      <c r="AH18" s="69"/>
      <c r="AI18" s="17" t="s">
        <v>13</v>
      </c>
      <c r="AJ18" s="16">
        <f>12</f>
        <v>12</v>
      </c>
      <c r="AK18" s="69"/>
      <c r="AL18" s="69"/>
      <c r="AM18" s="69"/>
      <c r="AN18" s="16">
        <f>AJ23+1</f>
        <v>18</v>
      </c>
      <c r="AO18" s="69"/>
      <c r="AP18" s="69"/>
      <c r="AQ18" s="69"/>
      <c r="AR18" s="16">
        <f>AN23+1</f>
        <v>24</v>
      </c>
      <c r="AS18" s="69"/>
      <c r="AT18" s="69"/>
      <c r="AU18" s="69"/>
      <c r="AV18" s="16">
        <f>AR23+1</f>
        <v>30</v>
      </c>
      <c r="AW18" s="69"/>
      <c r="AX18" s="69"/>
      <c r="AY18" s="69"/>
      <c r="AZ18" s="16">
        <f>AV23+1</f>
        <v>36</v>
      </c>
      <c r="BA18" s="69"/>
      <c r="BB18" s="69"/>
      <c r="BC18" s="69"/>
      <c r="BD18" s="19">
        <f>AZ23+1</f>
        <v>42</v>
      </c>
      <c r="BE18" s="20"/>
      <c r="BF18" s="16"/>
      <c r="BI18" s="268" t="str">
        <f>IF(BV11=0,"","Pelas opções selecionadas até aqui, o docente deverá marcar no quadro de disponibilidade um total de")</f>
        <v>Pelas opções selecionadas até aqui, o docente deverá marcar no quadro de disponibilidade um total de</v>
      </c>
      <c r="BJ18" s="268"/>
      <c r="BK18" s="268"/>
      <c r="BL18" s="268"/>
      <c r="BM18" s="268"/>
      <c r="BN18" s="268"/>
      <c r="BO18" s="268"/>
      <c r="BP18" s="268"/>
      <c r="BT18" s="29" t="s">
        <v>51</v>
      </c>
      <c r="BU18" s="35" t="b">
        <v>0</v>
      </c>
    </row>
    <row r="19" spans="2:82" ht="15.75" customHeight="1">
      <c r="B19" s="12"/>
      <c r="C19" s="122"/>
      <c r="D19" s="123"/>
      <c r="E19" s="95">
        <f>IF($BW$39=0,2,BT43)</f>
        <v>2</v>
      </c>
      <c r="F19" s="96"/>
      <c r="G19" s="96"/>
      <c r="H19" s="97"/>
      <c r="I19" s="58"/>
      <c r="J19" s="103"/>
      <c r="K19" s="104"/>
      <c r="L19" s="104"/>
      <c r="M19" s="58"/>
      <c r="N19" s="128"/>
      <c r="O19" s="129"/>
      <c r="P19" s="130"/>
      <c r="Q19" s="58"/>
      <c r="R19" s="103"/>
      <c r="S19" s="104"/>
      <c r="T19" s="104"/>
      <c r="U19" s="58"/>
      <c r="V19" s="103"/>
      <c r="W19" s="104"/>
      <c r="X19" s="104"/>
      <c r="Y19" s="58"/>
      <c r="Z19" s="103"/>
      <c r="AA19" s="104"/>
      <c r="AB19" s="104"/>
      <c r="AC19" s="58"/>
      <c r="AD19" s="103"/>
      <c r="AE19" s="104"/>
      <c r="AF19" s="118"/>
      <c r="AG19" s="68"/>
      <c r="AH19" s="69"/>
      <c r="AI19" s="17" t="s">
        <v>13</v>
      </c>
      <c r="AJ19" s="16">
        <f>AJ18+1</f>
        <v>13</v>
      </c>
      <c r="AK19" s="69"/>
      <c r="AL19" s="69"/>
      <c r="AM19" s="69"/>
      <c r="AN19" s="16">
        <f>AN18+1</f>
        <v>19</v>
      </c>
      <c r="AO19" s="69"/>
      <c r="AP19" s="69"/>
      <c r="AQ19" s="69"/>
      <c r="AR19" s="16">
        <f>AR18+1</f>
        <v>25</v>
      </c>
      <c r="AS19" s="69"/>
      <c r="AT19" s="69"/>
      <c r="AU19" s="69"/>
      <c r="AV19" s="16">
        <f>AV18+1</f>
        <v>31</v>
      </c>
      <c r="AW19" s="69"/>
      <c r="AX19" s="69"/>
      <c r="AY19" s="69"/>
      <c r="AZ19" s="16">
        <f>AZ18+1</f>
        <v>37</v>
      </c>
      <c r="BA19" s="69"/>
      <c r="BB19" s="69"/>
      <c r="BC19" s="69"/>
      <c r="BD19" s="19">
        <f>BD18+1</f>
        <v>43</v>
      </c>
      <c r="BE19" s="20"/>
      <c r="BF19" s="16"/>
      <c r="BI19" s="268"/>
      <c r="BJ19" s="268"/>
      <c r="BK19" s="268"/>
      <c r="BL19" s="268"/>
      <c r="BM19" s="268"/>
      <c r="BN19" s="268"/>
      <c r="BO19" s="268"/>
      <c r="BP19" s="268"/>
      <c r="BT19" s="29" t="s">
        <v>52</v>
      </c>
      <c r="BU19" s="8">
        <f>IF(BU18=TRUE,1,2)</f>
        <v>2</v>
      </c>
    </row>
    <row r="20" spans="2:82" ht="15.75" customHeight="1">
      <c r="B20" s="12"/>
      <c r="C20" s="122"/>
      <c r="D20" s="123"/>
      <c r="E20" s="95">
        <f>IF($BW$39=0,3,BT44)</f>
        <v>3</v>
      </c>
      <c r="F20" s="96"/>
      <c r="G20" s="96"/>
      <c r="H20" s="97"/>
      <c r="I20" s="58"/>
      <c r="J20" s="103"/>
      <c r="K20" s="104"/>
      <c r="L20" s="104"/>
      <c r="M20" s="58"/>
      <c r="N20" s="128"/>
      <c r="O20" s="129"/>
      <c r="P20" s="130"/>
      <c r="Q20" s="58"/>
      <c r="R20" s="128"/>
      <c r="S20" s="129"/>
      <c r="T20" s="130"/>
      <c r="U20" s="58"/>
      <c r="V20" s="103"/>
      <c r="W20" s="104"/>
      <c r="X20" s="104"/>
      <c r="Y20" s="58"/>
      <c r="Z20" s="128"/>
      <c r="AA20" s="129"/>
      <c r="AB20" s="130"/>
      <c r="AC20" s="58"/>
      <c r="AD20" s="103"/>
      <c r="AE20" s="104"/>
      <c r="AF20" s="118"/>
      <c r="AG20" s="68"/>
      <c r="AH20" s="69"/>
      <c r="AI20" s="17" t="s">
        <v>13</v>
      </c>
      <c r="AJ20" s="16">
        <f>AJ19+1</f>
        <v>14</v>
      </c>
      <c r="AK20" s="69"/>
      <c r="AL20" s="69"/>
      <c r="AM20" s="69"/>
      <c r="AN20" s="16">
        <f>AN19+1</f>
        <v>20</v>
      </c>
      <c r="AO20" s="69"/>
      <c r="AP20" s="69"/>
      <c r="AQ20" s="69"/>
      <c r="AR20" s="16">
        <f>AR19+1</f>
        <v>26</v>
      </c>
      <c r="AS20" s="69"/>
      <c r="AT20" s="69"/>
      <c r="AU20" s="69"/>
      <c r="AV20" s="16">
        <f>AV19+1</f>
        <v>32</v>
      </c>
      <c r="AW20" s="69"/>
      <c r="AX20" s="69"/>
      <c r="AY20" s="69"/>
      <c r="AZ20" s="16">
        <f>AZ19+1</f>
        <v>38</v>
      </c>
      <c r="BA20" s="69"/>
      <c r="BB20" s="69"/>
      <c r="BC20" s="69"/>
      <c r="BD20" s="19">
        <f>BD19+1</f>
        <v>44</v>
      </c>
      <c r="BE20" s="20"/>
      <c r="BF20" s="16"/>
      <c r="BJ20" s="36"/>
      <c r="BK20" s="36"/>
      <c r="BL20" s="85">
        <f>IF(BV11=0,"",CEILING(BU22,1))</f>
        <v>29</v>
      </c>
      <c r="BM20" s="10" t="str">
        <f>IF(BI18="","","células.")</f>
        <v>células.</v>
      </c>
      <c r="BN20" s="36"/>
      <c r="BO20" s="36"/>
      <c r="BP20" s="36"/>
      <c r="BT20" s="29" t="s">
        <v>53</v>
      </c>
    </row>
    <row r="21" spans="2:82" ht="15.75" customHeight="1">
      <c r="B21" s="12"/>
      <c r="C21" s="122"/>
      <c r="D21" s="123"/>
      <c r="E21" s="95">
        <f>IF($BW$39=0,4,BT45)</f>
        <v>4</v>
      </c>
      <c r="F21" s="96"/>
      <c r="G21" s="96"/>
      <c r="H21" s="97"/>
      <c r="I21" s="58"/>
      <c r="J21" s="103"/>
      <c r="K21" s="104"/>
      <c r="L21" s="104"/>
      <c r="M21" s="58"/>
      <c r="N21" s="128"/>
      <c r="O21" s="129"/>
      <c r="P21" s="130"/>
      <c r="Q21" s="58"/>
      <c r="R21" s="128"/>
      <c r="S21" s="129"/>
      <c r="T21" s="130"/>
      <c r="U21" s="58"/>
      <c r="V21" s="103"/>
      <c r="W21" s="104"/>
      <c r="X21" s="104"/>
      <c r="Y21" s="58"/>
      <c r="Z21" s="128"/>
      <c r="AA21" s="129"/>
      <c r="AB21" s="130"/>
      <c r="AC21" s="58"/>
      <c r="AD21" s="103"/>
      <c r="AE21" s="104"/>
      <c r="AF21" s="118"/>
      <c r="AG21" s="68"/>
      <c r="AH21" s="69"/>
      <c r="AI21" s="17" t="s">
        <v>13</v>
      </c>
      <c r="AJ21" s="16">
        <f>AJ20+1</f>
        <v>15</v>
      </c>
      <c r="AK21" s="69"/>
      <c r="AL21" s="69"/>
      <c r="AM21" s="69"/>
      <c r="AN21" s="16">
        <f>AN20+1</f>
        <v>21</v>
      </c>
      <c r="AO21" s="69"/>
      <c r="AP21" s="69"/>
      <c r="AQ21" s="69"/>
      <c r="AR21" s="16">
        <f>AR20+1</f>
        <v>27</v>
      </c>
      <c r="AS21" s="69"/>
      <c r="AT21" s="69"/>
      <c r="AU21" s="69"/>
      <c r="AV21" s="16">
        <f>AV20+1</f>
        <v>33</v>
      </c>
      <c r="AW21" s="69"/>
      <c r="AX21" s="69"/>
      <c r="AY21" s="69"/>
      <c r="AZ21" s="16">
        <f>AZ20+1</f>
        <v>39</v>
      </c>
      <c r="BA21" s="69"/>
      <c r="BB21" s="69"/>
      <c r="BC21" s="69"/>
      <c r="BD21" s="19">
        <f>BD20+1</f>
        <v>45</v>
      </c>
      <c r="BE21" s="20"/>
      <c r="BF21" s="16"/>
      <c r="BI21" s="269" t="str">
        <f>IF(BV11=0,"","Estas devem ser distribuídas nos turnos onde pretende ministrar as aulas.")</f>
        <v>Estas devem ser distribuídas nos turnos onde pretende ministrar as aulas.</v>
      </c>
      <c r="BJ21" s="269"/>
      <c r="BK21" s="269"/>
      <c r="BL21" s="269"/>
      <c r="BM21" s="269"/>
      <c r="BN21" s="269"/>
      <c r="BO21" s="269"/>
      <c r="BP21" s="269"/>
      <c r="BT21" s="29" t="s">
        <v>54</v>
      </c>
      <c r="BU21" s="29" t="s">
        <v>81</v>
      </c>
    </row>
    <row r="22" spans="2:82" ht="15.75" customHeight="1">
      <c r="B22" s="12"/>
      <c r="C22" s="122"/>
      <c r="D22" s="123"/>
      <c r="E22" s="95">
        <f>IF($BW$39=0,5,BT46)</f>
        <v>5</v>
      </c>
      <c r="F22" s="96"/>
      <c r="G22" s="96"/>
      <c r="H22" s="97"/>
      <c r="I22" s="58"/>
      <c r="J22" s="128"/>
      <c r="K22" s="129"/>
      <c r="L22" s="130"/>
      <c r="M22" s="58"/>
      <c r="N22" s="128"/>
      <c r="O22" s="129"/>
      <c r="P22" s="130"/>
      <c r="Q22" s="58"/>
      <c r="R22" s="128"/>
      <c r="S22" s="129"/>
      <c r="T22" s="130"/>
      <c r="U22" s="58"/>
      <c r="V22" s="128"/>
      <c r="W22" s="129"/>
      <c r="X22" s="130"/>
      <c r="Y22" s="58"/>
      <c r="Z22" s="128"/>
      <c r="AA22" s="129"/>
      <c r="AB22" s="130"/>
      <c r="AC22" s="58"/>
      <c r="AD22" s="103"/>
      <c r="AE22" s="104"/>
      <c r="AF22" s="118"/>
      <c r="AG22" s="68"/>
      <c r="AH22" s="69"/>
      <c r="AI22" s="17" t="s">
        <v>13</v>
      </c>
      <c r="AJ22" s="16">
        <f>AJ21+1</f>
        <v>16</v>
      </c>
      <c r="AK22" s="69"/>
      <c r="AL22" s="69"/>
      <c r="AM22" s="69"/>
      <c r="AN22" s="16">
        <f>AN21+1</f>
        <v>22</v>
      </c>
      <c r="AO22" s="69"/>
      <c r="AP22" s="69"/>
      <c r="AQ22" s="69"/>
      <c r="AR22" s="16">
        <f>AR21+1</f>
        <v>28</v>
      </c>
      <c r="AS22" s="69"/>
      <c r="AT22" s="69"/>
      <c r="AU22" s="69"/>
      <c r="AV22" s="16">
        <f>AV21+1</f>
        <v>34</v>
      </c>
      <c r="AW22" s="69"/>
      <c r="AX22" s="69"/>
      <c r="AY22" s="69"/>
      <c r="AZ22" s="16">
        <f>AZ21+1</f>
        <v>40</v>
      </c>
      <c r="BA22" s="69"/>
      <c r="BB22" s="69"/>
      <c r="BC22" s="69"/>
      <c r="BD22" s="19">
        <f>BD21+1</f>
        <v>46</v>
      </c>
      <c r="BE22" s="20"/>
      <c r="BF22" s="16"/>
      <c r="BT22" s="29" t="s">
        <v>55</v>
      </c>
      <c r="BU22" s="8">
        <f>IF(BW11=20,ROUNDUP(10*60/BU15*1.5,0),ROUNDUP(16*60/BU15*1.5,0))</f>
        <v>29</v>
      </c>
    </row>
    <row r="23" spans="2:82" ht="15.75" customHeight="1">
      <c r="B23" s="12"/>
      <c r="C23" s="124"/>
      <c r="D23" s="125"/>
      <c r="E23" s="95">
        <f>IF($BW$39=0,6,BT47)</f>
        <v>6</v>
      </c>
      <c r="F23" s="96"/>
      <c r="G23" s="96"/>
      <c r="H23" s="97"/>
      <c r="I23" s="58"/>
      <c r="J23" s="128"/>
      <c r="K23" s="129"/>
      <c r="L23" s="130"/>
      <c r="M23" s="58"/>
      <c r="N23" s="128"/>
      <c r="O23" s="129"/>
      <c r="P23" s="130"/>
      <c r="Q23" s="58"/>
      <c r="R23" s="128"/>
      <c r="S23" s="129"/>
      <c r="T23" s="130"/>
      <c r="U23" s="58"/>
      <c r="V23" s="128"/>
      <c r="W23" s="129"/>
      <c r="X23" s="130"/>
      <c r="Y23" s="58"/>
      <c r="Z23" s="128"/>
      <c r="AA23" s="129"/>
      <c r="AB23" s="130"/>
      <c r="AC23" s="58"/>
      <c r="AD23" s="103"/>
      <c r="AE23" s="104"/>
      <c r="AF23" s="118"/>
      <c r="AG23" s="68"/>
      <c r="AH23" s="69"/>
      <c r="AI23" s="17" t="s">
        <v>13</v>
      </c>
      <c r="AJ23" s="16">
        <f>AJ22+1</f>
        <v>17</v>
      </c>
      <c r="AK23" s="69"/>
      <c r="AL23" s="69"/>
      <c r="AM23" s="69"/>
      <c r="AN23" s="16">
        <f>AN22+1</f>
        <v>23</v>
      </c>
      <c r="AO23" s="69"/>
      <c r="AP23" s="69"/>
      <c r="AQ23" s="69"/>
      <c r="AR23" s="16">
        <f>AR22+1</f>
        <v>29</v>
      </c>
      <c r="AS23" s="69"/>
      <c r="AT23" s="69"/>
      <c r="AU23" s="69"/>
      <c r="AV23" s="16">
        <f>AV22+1</f>
        <v>35</v>
      </c>
      <c r="AW23" s="69"/>
      <c r="AX23" s="69"/>
      <c r="AY23" s="69"/>
      <c r="AZ23" s="16">
        <f>AZ22+1</f>
        <v>41</v>
      </c>
      <c r="BA23" s="69"/>
      <c r="BB23" s="69"/>
      <c r="BC23" s="69"/>
      <c r="BD23" s="19">
        <f>BD22+1</f>
        <v>47</v>
      </c>
      <c r="BE23" s="20"/>
      <c r="BF23" s="16"/>
      <c r="BI23" s="269" t="str">
        <f>IF(BV11=0,"","Células preenchidas até o momento:")</f>
        <v>Células preenchidas até o momento:</v>
      </c>
      <c r="BJ23" s="269"/>
      <c r="BK23" s="269"/>
      <c r="BL23" s="269"/>
      <c r="BM23" s="269" t="str">
        <f>IF(BV11=0,"","Células que faltam")</f>
        <v>Células que faltam</v>
      </c>
      <c r="BN23" s="269"/>
      <c r="BO23" s="269"/>
      <c r="BP23" s="269"/>
      <c r="BT23" s="29" t="s">
        <v>56</v>
      </c>
    </row>
    <row r="24" spans="2:82" ht="15.75" customHeight="1">
      <c r="B24" s="12"/>
      <c r="C24" s="184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6"/>
      <c r="AG24" s="69"/>
      <c r="AH24" s="69"/>
      <c r="AI24" s="17" t="s">
        <v>13</v>
      </c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14"/>
      <c r="BE24" s="15"/>
      <c r="BF24" s="16"/>
      <c r="BJ24" s="270">
        <f>IF(BV11=0,"",COUNTA(I18:I23,M18:M23,Q18:Q23,U18:U23,Y18:Y23,AC18:AC23,I26:I31,M26:M31,Q26:Q31,U26:U31,Y26:Y31,AC26:AC31,I34:I38,M34:M38,Q34:Q38,U34:U38,Y34:Y38,AC34:AC38))</f>
        <v>0</v>
      </c>
      <c r="BK24" s="270"/>
      <c r="BN24" s="270">
        <f>IF(BV11=0,"",IF(BJ24=BL20,"Pronto, não precisa mais preencher células",IF(BJ24&gt;BL20,"Você preencheu mais células que o necessário",BL20-BJ24)))</f>
        <v>29</v>
      </c>
      <c r="BO24" s="270"/>
      <c r="BP24" s="36"/>
      <c r="BT24" s="29" t="s">
        <v>57</v>
      </c>
    </row>
    <row r="25" spans="2:82" ht="15.75" customHeight="1">
      <c r="B25" s="12"/>
      <c r="C25" s="98" t="s">
        <v>24</v>
      </c>
      <c r="D25" s="99"/>
      <c r="E25" s="119" t="s">
        <v>23</v>
      </c>
      <c r="F25" s="119"/>
      <c r="G25" s="119"/>
      <c r="H25" s="119"/>
      <c r="I25" s="110" t="str">
        <f>I17</f>
        <v>segunda</v>
      </c>
      <c r="J25" s="111"/>
      <c r="K25" s="111"/>
      <c r="L25" s="111"/>
      <c r="M25" s="110" t="str">
        <f>M17</f>
        <v>terça</v>
      </c>
      <c r="N25" s="111"/>
      <c r="O25" s="111"/>
      <c r="P25" s="111"/>
      <c r="Q25" s="110" t="str">
        <f>Q17</f>
        <v>quarta</v>
      </c>
      <c r="R25" s="111"/>
      <c r="S25" s="111"/>
      <c r="T25" s="111"/>
      <c r="U25" s="110" t="str">
        <f>U17</f>
        <v>quinta</v>
      </c>
      <c r="V25" s="111"/>
      <c r="W25" s="111"/>
      <c r="X25" s="111"/>
      <c r="Y25" s="110" t="str">
        <f>Y17</f>
        <v>sexta</v>
      </c>
      <c r="Z25" s="111"/>
      <c r="AA25" s="111"/>
      <c r="AB25" s="111"/>
      <c r="AC25" s="110" t="str">
        <f>AC17</f>
        <v>sábado</v>
      </c>
      <c r="AD25" s="111"/>
      <c r="AE25" s="111"/>
      <c r="AF25" s="112"/>
      <c r="AG25" s="68"/>
      <c r="AH25" s="69"/>
      <c r="AI25" s="17" t="s">
        <v>13</v>
      </c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14"/>
      <c r="BE25" s="15"/>
      <c r="BF25" s="16"/>
      <c r="BT25" s="29" t="s">
        <v>58</v>
      </c>
      <c r="BU25" s="29" t="s">
        <v>100</v>
      </c>
    </row>
    <row r="26" spans="2:82" ht="15.75" customHeight="1">
      <c r="B26" s="12"/>
      <c r="C26" s="120" t="s">
        <v>98</v>
      </c>
      <c r="D26" s="121"/>
      <c r="E26" s="95">
        <f>IF($BW$39=0,1,BT50)</f>
        <v>1</v>
      </c>
      <c r="F26" s="96"/>
      <c r="G26" s="96"/>
      <c r="H26" s="97"/>
      <c r="I26" s="58"/>
      <c r="J26" s="103"/>
      <c r="K26" s="104"/>
      <c r="L26" s="104"/>
      <c r="M26" s="58"/>
      <c r="N26" s="103"/>
      <c r="O26" s="104"/>
      <c r="P26" s="104"/>
      <c r="Q26" s="58"/>
      <c r="R26" s="103"/>
      <c r="S26" s="104"/>
      <c r="T26" s="104"/>
      <c r="U26" s="58"/>
      <c r="V26" s="103"/>
      <c r="W26" s="104"/>
      <c r="X26" s="104"/>
      <c r="Y26" s="58"/>
      <c r="Z26" s="103"/>
      <c r="AA26" s="104"/>
      <c r="AB26" s="104"/>
      <c r="AC26" s="58"/>
      <c r="AD26" s="103"/>
      <c r="AE26" s="104"/>
      <c r="AF26" s="118"/>
      <c r="AG26" s="68"/>
      <c r="AH26" s="69"/>
      <c r="AI26" s="17" t="s">
        <v>13</v>
      </c>
      <c r="AJ26" s="16">
        <f>BD23+1</f>
        <v>48</v>
      </c>
      <c r="AK26" s="69"/>
      <c r="AL26" s="69"/>
      <c r="AM26" s="69"/>
      <c r="AN26" s="16">
        <f>AJ31+1</f>
        <v>54</v>
      </c>
      <c r="AO26" s="69"/>
      <c r="AP26" s="69"/>
      <c r="AQ26" s="69"/>
      <c r="AR26" s="16">
        <f>AN31+1</f>
        <v>60</v>
      </c>
      <c r="AS26" s="69"/>
      <c r="AT26" s="69"/>
      <c r="AU26" s="69"/>
      <c r="AV26" s="16">
        <f>AR31+1</f>
        <v>66</v>
      </c>
      <c r="AW26" s="69"/>
      <c r="AX26" s="69"/>
      <c r="AY26" s="69"/>
      <c r="AZ26" s="16">
        <f>AV31+1</f>
        <v>72</v>
      </c>
      <c r="BA26" s="69"/>
      <c r="BB26" s="69"/>
      <c r="BC26" s="69"/>
      <c r="BD26" s="19">
        <f>AZ31+1</f>
        <v>78</v>
      </c>
      <c r="BE26" s="20"/>
      <c r="BF26" s="16"/>
      <c r="BI26" s="268" t="s">
        <v>122</v>
      </c>
      <c r="BJ26" s="268"/>
      <c r="BK26" s="268"/>
      <c r="BL26" s="268"/>
      <c r="BM26" s="268"/>
      <c r="BN26" s="268"/>
      <c r="BO26" s="268"/>
      <c r="BP26" s="268"/>
      <c r="BT26" s="29" t="s">
        <v>59</v>
      </c>
    </row>
    <row r="27" spans="2:82" ht="15.75" customHeight="1">
      <c r="B27" s="12"/>
      <c r="C27" s="122"/>
      <c r="D27" s="123"/>
      <c r="E27" s="95">
        <f>IF($BW$39=0,2,BT51)</f>
        <v>2</v>
      </c>
      <c r="F27" s="96"/>
      <c r="G27" s="96"/>
      <c r="H27" s="97"/>
      <c r="I27" s="58"/>
      <c r="J27" s="103"/>
      <c r="K27" s="104"/>
      <c r="L27" s="104"/>
      <c r="M27" s="58"/>
      <c r="N27" s="128"/>
      <c r="O27" s="129"/>
      <c r="P27" s="130"/>
      <c r="Q27" s="58"/>
      <c r="R27" s="103"/>
      <c r="S27" s="104"/>
      <c r="T27" s="104"/>
      <c r="U27" s="58"/>
      <c r="V27" s="103"/>
      <c r="W27" s="104"/>
      <c r="X27" s="104"/>
      <c r="Y27" s="58"/>
      <c r="Z27" s="103"/>
      <c r="AA27" s="104"/>
      <c r="AB27" s="104"/>
      <c r="AC27" s="58"/>
      <c r="AD27" s="103"/>
      <c r="AE27" s="104"/>
      <c r="AF27" s="118"/>
      <c r="AG27" s="68"/>
      <c r="AH27" s="69"/>
      <c r="AI27" s="17" t="s">
        <v>13</v>
      </c>
      <c r="AJ27" s="16">
        <f>AJ26+1</f>
        <v>49</v>
      </c>
      <c r="AK27" s="69"/>
      <c r="AL27" s="69"/>
      <c r="AM27" s="69"/>
      <c r="AN27" s="16">
        <f>AN26+1</f>
        <v>55</v>
      </c>
      <c r="AO27" s="69"/>
      <c r="AP27" s="69"/>
      <c r="AQ27" s="69"/>
      <c r="AR27" s="16">
        <f>AR26+1</f>
        <v>61</v>
      </c>
      <c r="AS27" s="69"/>
      <c r="AT27" s="69"/>
      <c r="AU27" s="69"/>
      <c r="AV27" s="16">
        <f>AV26+1</f>
        <v>67</v>
      </c>
      <c r="AW27" s="69"/>
      <c r="AX27" s="69"/>
      <c r="AY27" s="69"/>
      <c r="AZ27" s="16">
        <f>AZ26+1</f>
        <v>73</v>
      </c>
      <c r="BA27" s="69"/>
      <c r="BB27" s="69"/>
      <c r="BC27" s="69"/>
      <c r="BD27" s="19">
        <f>BD26+1</f>
        <v>79</v>
      </c>
      <c r="BE27" s="20"/>
      <c r="BF27" s="16"/>
      <c r="BI27" s="268"/>
      <c r="BJ27" s="268"/>
      <c r="BK27" s="268"/>
      <c r="BL27" s="268"/>
      <c r="BM27" s="268"/>
      <c r="BN27" s="268"/>
      <c r="BO27" s="268"/>
      <c r="BP27" s="268"/>
      <c r="BT27" s="29" t="s">
        <v>60</v>
      </c>
      <c r="BU27" s="29" t="s">
        <v>101</v>
      </c>
    </row>
    <row r="28" spans="2:82" ht="15.75" customHeight="1">
      <c r="B28" s="12"/>
      <c r="C28" s="122"/>
      <c r="D28" s="123"/>
      <c r="E28" s="95">
        <f>IF($BW$39=0,3,BT52)</f>
        <v>3</v>
      </c>
      <c r="F28" s="96"/>
      <c r="G28" s="96"/>
      <c r="H28" s="97"/>
      <c r="I28" s="58"/>
      <c r="J28" s="103"/>
      <c r="K28" s="104"/>
      <c r="L28" s="104"/>
      <c r="M28" s="58"/>
      <c r="N28" s="128"/>
      <c r="O28" s="129"/>
      <c r="P28" s="130"/>
      <c r="Q28" s="58"/>
      <c r="R28" s="128"/>
      <c r="S28" s="129"/>
      <c r="T28" s="130"/>
      <c r="U28" s="58"/>
      <c r="V28" s="103"/>
      <c r="W28" s="104"/>
      <c r="X28" s="104"/>
      <c r="Y28" s="58"/>
      <c r="Z28" s="128"/>
      <c r="AA28" s="129"/>
      <c r="AB28" s="130"/>
      <c r="AC28" s="58"/>
      <c r="AD28" s="103"/>
      <c r="AE28" s="104"/>
      <c r="AF28" s="118"/>
      <c r="AG28" s="68"/>
      <c r="AH28" s="69"/>
      <c r="AI28" s="17" t="s">
        <v>13</v>
      </c>
      <c r="AJ28" s="16">
        <f>AJ27+1</f>
        <v>50</v>
      </c>
      <c r="AK28" s="69"/>
      <c r="AL28" s="69"/>
      <c r="AM28" s="69"/>
      <c r="AN28" s="16">
        <f>AN27+1</f>
        <v>56</v>
      </c>
      <c r="AO28" s="69"/>
      <c r="AP28" s="69"/>
      <c r="AQ28" s="69"/>
      <c r="AR28" s="16">
        <f>AR27+1</f>
        <v>62</v>
      </c>
      <c r="AS28" s="69"/>
      <c r="AT28" s="69"/>
      <c r="AU28" s="69"/>
      <c r="AV28" s="16">
        <f>AV27+1</f>
        <v>68</v>
      </c>
      <c r="AW28" s="69"/>
      <c r="AX28" s="69"/>
      <c r="AY28" s="69"/>
      <c r="AZ28" s="16">
        <f>AZ27+1</f>
        <v>74</v>
      </c>
      <c r="BA28" s="69"/>
      <c r="BB28" s="69"/>
      <c r="BC28" s="69"/>
      <c r="BD28" s="19">
        <f>BD27+1</f>
        <v>80</v>
      </c>
      <c r="BE28" s="20"/>
      <c r="BF28" s="16"/>
      <c r="BI28" s="268"/>
      <c r="BJ28" s="268"/>
      <c r="BK28" s="268"/>
      <c r="BL28" s="268"/>
      <c r="BM28" s="268"/>
      <c r="BN28" s="268"/>
      <c r="BO28" s="268"/>
      <c r="BP28" s="268"/>
      <c r="BT28" s="29" t="s">
        <v>61</v>
      </c>
      <c r="BU28" s="29" t="s">
        <v>102</v>
      </c>
    </row>
    <row r="29" spans="2:82" ht="15.75" customHeight="1">
      <c r="B29" s="12"/>
      <c r="C29" s="122"/>
      <c r="D29" s="123"/>
      <c r="E29" s="95">
        <f>IF($BW$39=0,4,BT53)</f>
        <v>4</v>
      </c>
      <c r="F29" s="96"/>
      <c r="G29" s="96"/>
      <c r="H29" s="97"/>
      <c r="I29" s="58"/>
      <c r="J29" s="103"/>
      <c r="K29" s="104"/>
      <c r="L29" s="104"/>
      <c r="M29" s="58"/>
      <c r="N29" s="128"/>
      <c r="O29" s="129"/>
      <c r="P29" s="130"/>
      <c r="Q29" s="58"/>
      <c r="R29" s="128"/>
      <c r="S29" s="129"/>
      <c r="T29" s="130"/>
      <c r="U29" s="58"/>
      <c r="V29" s="103"/>
      <c r="W29" s="104"/>
      <c r="X29" s="104"/>
      <c r="Y29" s="58"/>
      <c r="Z29" s="128"/>
      <c r="AA29" s="129"/>
      <c r="AB29" s="130"/>
      <c r="AC29" s="58"/>
      <c r="AD29" s="103"/>
      <c r="AE29" s="104"/>
      <c r="AF29" s="118"/>
      <c r="AG29" s="68"/>
      <c r="AH29" s="69"/>
      <c r="AI29" s="17" t="s">
        <v>13</v>
      </c>
      <c r="AJ29" s="16">
        <f>AJ28+1</f>
        <v>51</v>
      </c>
      <c r="AK29" s="69"/>
      <c r="AL29" s="69"/>
      <c r="AM29" s="69"/>
      <c r="AN29" s="16">
        <f>AN28+1</f>
        <v>57</v>
      </c>
      <c r="AO29" s="69"/>
      <c r="AP29" s="69"/>
      <c r="AQ29" s="69"/>
      <c r="AR29" s="16">
        <f>AR28+1</f>
        <v>63</v>
      </c>
      <c r="AS29" s="69"/>
      <c r="AT29" s="69"/>
      <c r="AU29" s="69"/>
      <c r="AV29" s="16">
        <f>AV28+1</f>
        <v>69</v>
      </c>
      <c r="AW29" s="69"/>
      <c r="AX29" s="69"/>
      <c r="AY29" s="69"/>
      <c r="AZ29" s="16">
        <f>AZ28+1</f>
        <v>75</v>
      </c>
      <c r="BA29" s="69"/>
      <c r="BB29" s="69"/>
      <c r="BC29" s="69"/>
      <c r="BD29" s="19">
        <f>BD28+1</f>
        <v>81</v>
      </c>
      <c r="BE29" s="20"/>
      <c r="BF29" s="16"/>
      <c r="BT29" s="29" t="s">
        <v>62</v>
      </c>
      <c r="BU29" s="29" t="s">
        <v>103</v>
      </c>
    </row>
    <row r="30" spans="2:82" ht="15.75" customHeight="1">
      <c r="B30" s="12"/>
      <c r="C30" s="122"/>
      <c r="D30" s="123"/>
      <c r="E30" s="95">
        <f>IF($BW$39=0,5,BT54)</f>
        <v>5</v>
      </c>
      <c r="F30" s="96"/>
      <c r="G30" s="96"/>
      <c r="H30" s="97"/>
      <c r="I30" s="58"/>
      <c r="J30" s="128"/>
      <c r="K30" s="129"/>
      <c r="L30" s="130"/>
      <c r="M30" s="58"/>
      <c r="N30" s="128"/>
      <c r="O30" s="129"/>
      <c r="P30" s="130"/>
      <c r="Q30" s="58"/>
      <c r="R30" s="128"/>
      <c r="S30" s="129"/>
      <c r="T30" s="130"/>
      <c r="U30" s="58"/>
      <c r="V30" s="128"/>
      <c r="W30" s="129"/>
      <c r="X30" s="130"/>
      <c r="Y30" s="58"/>
      <c r="Z30" s="128"/>
      <c r="AA30" s="129"/>
      <c r="AB30" s="130"/>
      <c r="AC30" s="58"/>
      <c r="AD30" s="103"/>
      <c r="AE30" s="104"/>
      <c r="AF30" s="118"/>
      <c r="AG30" s="68"/>
      <c r="AH30" s="69"/>
      <c r="AI30" s="17" t="s">
        <v>13</v>
      </c>
      <c r="AJ30" s="16">
        <f>AJ29+1</f>
        <v>52</v>
      </c>
      <c r="AK30" s="69"/>
      <c r="AL30" s="69"/>
      <c r="AM30" s="69"/>
      <c r="AN30" s="16">
        <f>AN29+1</f>
        <v>58</v>
      </c>
      <c r="AO30" s="69"/>
      <c r="AP30" s="69"/>
      <c r="AQ30" s="69"/>
      <c r="AR30" s="16">
        <f>AR29+1</f>
        <v>64</v>
      </c>
      <c r="AS30" s="69"/>
      <c r="AT30" s="69"/>
      <c r="AU30" s="69"/>
      <c r="AV30" s="16">
        <f>AV29+1</f>
        <v>70</v>
      </c>
      <c r="AW30" s="69"/>
      <c r="AX30" s="69"/>
      <c r="AY30" s="69"/>
      <c r="AZ30" s="16">
        <f>AZ29+1</f>
        <v>76</v>
      </c>
      <c r="BA30" s="69"/>
      <c r="BB30" s="69"/>
      <c r="BC30" s="69"/>
      <c r="BD30" s="19">
        <f>BD29+1</f>
        <v>82</v>
      </c>
      <c r="BE30" s="20"/>
      <c r="BF30" s="16"/>
      <c r="BT30" s="29" t="s">
        <v>63</v>
      </c>
    </row>
    <row r="31" spans="2:82" ht="15.75" customHeight="1">
      <c r="B31" s="12"/>
      <c r="C31" s="124"/>
      <c r="D31" s="125"/>
      <c r="E31" s="95">
        <f>IF($BW$39=0,6,BT55)</f>
        <v>6</v>
      </c>
      <c r="F31" s="96"/>
      <c r="G31" s="96"/>
      <c r="H31" s="97"/>
      <c r="I31" s="58"/>
      <c r="J31" s="128"/>
      <c r="K31" s="129"/>
      <c r="L31" s="130"/>
      <c r="M31" s="58"/>
      <c r="N31" s="128"/>
      <c r="O31" s="129"/>
      <c r="P31" s="130"/>
      <c r="Q31" s="58"/>
      <c r="R31" s="128"/>
      <c r="S31" s="129"/>
      <c r="T31" s="130"/>
      <c r="U31" s="58"/>
      <c r="V31" s="128"/>
      <c r="W31" s="129"/>
      <c r="X31" s="130"/>
      <c r="Y31" s="58"/>
      <c r="Z31" s="128"/>
      <c r="AA31" s="129"/>
      <c r="AB31" s="130"/>
      <c r="AC31" s="58"/>
      <c r="AD31" s="103"/>
      <c r="AE31" s="104"/>
      <c r="AF31" s="118"/>
      <c r="AG31" s="68"/>
      <c r="AH31" s="69"/>
      <c r="AI31" s="17" t="s">
        <v>13</v>
      </c>
      <c r="AJ31" s="16">
        <f>AJ30+1</f>
        <v>53</v>
      </c>
      <c r="AK31" s="69"/>
      <c r="AL31" s="69"/>
      <c r="AM31" s="69"/>
      <c r="AN31" s="16">
        <f>AN30+1</f>
        <v>59</v>
      </c>
      <c r="AO31" s="69"/>
      <c r="AP31" s="69"/>
      <c r="AQ31" s="69"/>
      <c r="AR31" s="16">
        <f>AR30+1</f>
        <v>65</v>
      </c>
      <c r="AS31" s="69"/>
      <c r="AT31" s="69"/>
      <c r="AU31" s="69"/>
      <c r="AV31" s="16">
        <f>AV30+1</f>
        <v>71</v>
      </c>
      <c r="AW31" s="69"/>
      <c r="AX31" s="69"/>
      <c r="AY31" s="69"/>
      <c r="AZ31" s="16">
        <f>AZ30+1</f>
        <v>77</v>
      </c>
      <c r="BA31" s="69"/>
      <c r="BB31" s="69"/>
      <c r="BC31" s="69"/>
      <c r="BD31" s="19">
        <f>BD30+1</f>
        <v>83</v>
      </c>
      <c r="BE31" s="20"/>
      <c r="BF31" s="16"/>
      <c r="BI31" s="89"/>
      <c r="BJ31" s="261" t="s">
        <v>125</v>
      </c>
      <c r="BK31" s="261"/>
      <c r="BL31" s="261"/>
      <c r="BM31" s="261"/>
      <c r="BN31" s="261"/>
      <c r="BO31" s="74">
        <v>1.0416666666666666E-2</v>
      </c>
      <c r="BP31" s="75"/>
      <c r="BQ31" s="72"/>
      <c r="BR31" s="72"/>
      <c r="BT31" s="29" t="s">
        <v>64</v>
      </c>
      <c r="CD31" s="10" t="s">
        <v>97</v>
      </c>
    </row>
    <row r="32" spans="2:82" ht="15.75" customHeight="1">
      <c r="B32" s="12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3"/>
      <c r="AG32" s="69"/>
      <c r="AH32" s="69"/>
      <c r="AI32" s="17" t="s">
        <v>13</v>
      </c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14"/>
      <c r="BE32" s="15"/>
      <c r="BF32" s="16"/>
      <c r="BI32" s="80"/>
      <c r="BJ32" s="72"/>
      <c r="BK32" s="60"/>
      <c r="BL32" s="60"/>
      <c r="BM32" s="60"/>
      <c r="BN32" s="60"/>
      <c r="BO32" s="60"/>
      <c r="BP32" s="76"/>
      <c r="BQ32" s="72"/>
      <c r="BR32" s="72"/>
      <c r="BT32" s="29" t="s">
        <v>65</v>
      </c>
    </row>
    <row r="33" spans="2:82" ht="15.75" customHeight="1">
      <c r="B33" s="12"/>
      <c r="C33" s="98" t="s">
        <v>24</v>
      </c>
      <c r="D33" s="99"/>
      <c r="E33" s="119" t="s">
        <v>23</v>
      </c>
      <c r="F33" s="119"/>
      <c r="G33" s="119"/>
      <c r="H33" s="119"/>
      <c r="I33" s="110" t="str">
        <f>I25</f>
        <v>segunda</v>
      </c>
      <c r="J33" s="111"/>
      <c r="K33" s="111"/>
      <c r="L33" s="111"/>
      <c r="M33" s="110" t="str">
        <f>M25</f>
        <v>terça</v>
      </c>
      <c r="N33" s="111"/>
      <c r="O33" s="111"/>
      <c r="P33" s="111"/>
      <c r="Q33" s="110" t="str">
        <f>Q25</f>
        <v>quarta</v>
      </c>
      <c r="R33" s="111"/>
      <c r="S33" s="111"/>
      <c r="T33" s="111"/>
      <c r="U33" s="110" t="str">
        <f>U25</f>
        <v>quinta</v>
      </c>
      <c r="V33" s="111"/>
      <c r="W33" s="111"/>
      <c r="X33" s="111"/>
      <c r="Y33" s="110" t="str">
        <f>Y25</f>
        <v>sexta</v>
      </c>
      <c r="Z33" s="111"/>
      <c r="AA33" s="111"/>
      <c r="AB33" s="111"/>
      <c r="AC33" s="110" t="str">
        <f>AC25</f>
        <v>sábado</v>
      </c>
      <c r="AD33" s="111"/>
      <c r="AE33" s="111"/>
      <c r="AF33" s="112"/>
      <c r="AG33" s="69"/>
      <c r="AH33" s="69"/>
      <c r="AI33" s="17" t="s">
        <v>13</v>
      </c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14"/>
      <c r="BE33" s="15"/>
      <c r="BF33" s="16"/>
      <c r="BI33" s="80"/>
      <c r="BJ33" s="109" t="s">
        <v>111</v>
      </c>
      <c r="BK33" s="109"/>
      <c r="BL33" s="109"/>
      <c r="BM33" s="109"/>
      <c r="BN33" s="109"/>
      <c r="BO33" s="77" t="str">
        <f>IF(BU46=0,BU45&amp;":"&amp;BU46&amp;BU46,IF(BU46=5,BU45&amp;":"&amp;0&amp;BU46,BU45&amp;":"&amp;BU46))</f>
        <v>7:00</v>
      </c>
      <c r="BP33" s="76"/>
      <c r="BQ33" s="72"/>
      <c r="BR33" s="72"/>
      <c r="BT33" s="29" t="s">
        <v>66</v>
      </c>
      <c r="BW33" s="49" t="s">
        <v>91</v>
      </c>
      <c r="BX33" s="50"/>
      <c r="CD33" s="54">
        <v>3.472222222222222E-3</v>
      </c>
    </row>
    <row r="34" spans="2:82" ht="15.75" customHeight="1">
      <c r="B34" s="12"/>
      <c r="C34" s="120" t="s">
        <v>26</v>
      </c>
      <c r="D34" s="131"/>
      <c r="E34" s="102">
        <f>IF($BW$39=0,1,BT58)</f>
        <v>1</v>
      </c>
      <c r="F34" s="102"/>
      <c r="G34" s="102"/>
      <c r="H34" s="102"/>
      <c r="I34" s="58"/>
      <c r="J34" s="103"/>
      <c r="K34" s="104"/>
      <c r="L34" s="104"/>
      <c r="M34" s="58"/>
      <c r="N34" s="103"/>
      <c r="O34" s="104"/>
      <c r="P34" s="104"/>
      <c r="Q34" s="58"/>
      <c r="R34" s="103"/>
      <c r="S34" s="104"/>
      <c r="T34" s="104"/>
      <c r="U34" s="58"/>
      <c r="V34" s="103"/>
      <c r="W34" s="104"/>
      <c r="X34" s="104"/>
      <c r="Y34" s="58"/>
      <c r="Z34" s="103"/>
      <c r="AA34" s="104"/>
      <c r="AB34" s="104"/>
      <c r="AC34" s="58"/>
      <c r="AD34" s="103"/>
      <c r="AE34" s="104"/>
      <c r="AF34" s="118"/>
      <c r="AG34" s="69"/>
      <c r="AH34" s="69"/>
      <c r="AI34" s="17" t="s">
        <v>13</v>
      </c>
      <c r="AJ34" s="16">
        <f>BD31+1</f>
        <v>84</v>
      </c>
      <c r="AK34" s="69"/>
      <c r="AL34" s="69"/>
      <c r="AM34" s="69"/>
      <c r="AN34" s="16">
        <f>AJ38+1</f>
        <v>89</v>
      </c>
      <c r="AO34" s="69"/>
      <c r="AP34" s="69"/>
      <c r="AQ34" s="69"/>
      <c r="AR34" s="16">
        <f>AN38+1</f>
        <v>94</v>
      </c>
      <c r="AS34" s="69"/>
      <c r="AT34" s="69"/>
      <c r="AU34" s="69"/>
      <c r="AV34" s="16">
        <f>AR38+1</f>
        <v>99</v>
      </c>
      <c r="AW34" s="69"/>
      <c r="AX34" s="69"/>
      <c r="AY34" s="69"/>
      <c r="AZ34" s="16">
        <f>AV38+1</f>
        <v>104</v>
      </c>
      <c r="BA34" s="69"/>
      <c r="BB34" s="69"/>
      <c r="BC34" s="69"/>
      <c r="BD34" s="14"/>
      <c r="BE34" s="15"/>
      <c r="BF34" s="16"/>
      <c r="BI34" s="80"/>
      <c r="BJ34" s="72"/>
      <c r="BK34" s="60"/>
      <c r="BL34" s="60"/>
      <c r="BM34" s="60"/>
      <c r="BN34" s="60"/>
      <c r="BO34" s="63"/>
      <c r="BP34" s="76"/>
      <c r="BQ34" s="72"/>
      <c r="BR34" s="72"/>
      <c r="BT34" s="29" t="s">
        <v>67</v>
      </c>
      <c r="BW34" s="51" t="str">
        <f>0&amp;":"&amp;BX34&amp;":"&amp;0</f>
        <v>0:50:0</v>
      </c>
      <c r="BX34" s="49">
        <f>BU15</f>
        <v>50</v>
      </c>
      <c r="CD34" s="54">
        <v>6.9444444444444441E-3</v>
      </c>
    </row>
    <row r="35" spans="2:82" ht="15.75" customHeight="1">
      <c r="B35" s="12"/>
      <c r="C35" s="122"/>
      <c r="D35" s="132"/>
      <c r="E35" s="102">
        <f>IF($BW$39=0,2,BT59)</f>
        <v>2</v>
      </c>
      <c r="F35" s="102"/>
      <c r="G35" s="102"/>
      <c r="H35" s="102"/>
      <c r="I35" s="58"/>
      <c r="J35" s="103"/>
      <c r="K35" s="104"/>
      <c r="L35" s="104"/>
      <c r="M35" s="58"/>
      <c r="N35" s="128"/>
      <c r="O35" s="129"/>
      <c r="P35" s="130"/>
      <c r="Q35" s="58"/>
      <c r="R35" s="103"/>
      <c r="S35" s="104"/>
      <c r="T35" s="104"/>
      <c r="U35" s="58"/>
      <c r="V35" s="103"/>
      <c r="W35" s="104"/>
      <c r="X35" s="104"/>
      <c r="Y35" s="58"/>
      <c r="Z35" s="103"/>
      <c r="AA35" s="104"/>
      <c r="AB35" s="104"/>
      <c r="AC35" s="58"/>
      <c r="AD35" s="103"/>
      <c r="AE35" s="104"/>
      <c r="AF35" s="118"/>
      <c r="AG35" s="69"/>
      <c r="AH35" s="69"/>
      <c r="AI35" s="17" t="s">
        <v>13</v>
      </c>
      <c r="AJ35" s="16">
        <f>AJ34+1</f>
        <v>85</v>
      </c>
      <c r="AK35" s="69"/>
      <c r="AL35" s="69"/>
      <c r="AM35" s="69"/>
      <c r="AN35" s="16">
        <f>AN34+1</f>
        <v>90</v>
      </c>
      <c r="AO35" s="69"/>
      <c r="AP35" s="69"/>
      <c r="AQ35" s="69"/>
      <c r="AR35" s="16">
        <f>AR34+1</f>
        <v>95</v>
      </c>
      <c r="AS35" s="69"/>
      <c r="AT35" s="69"/>
      <c r="AU35" s="69"/>
      <c r="AV35" s="16">
        <f>AV34+1</f>
        <v>100</v>
      </c>
      <c r="AW35" s="69"/>
      <c r="AX35" s="69"/>
      <c r="AY35" s="69"/>
      <c r="AZ35" s="16">
        <f>AZ34+1</f>
        <v>105</v>
      </c>
      <c r="BA35" s="69"/>
      <c r="BB35" s="69"/>
      <c r="BC35" s="69"/>
      <c r="BD35" s="14"/>
      <c r="BE35" s="15"/>
      <c r="BF35" s="16"/>
      <c r="BI35" s="80"/>
      <c r="BJ35" s="109" t="s">
        <v>95</v>
      </c>
      <c r="BK35" s="109"/>
      <c r="BL35" s="109"/>
      <c r="BM35" s="109"/>
      <c r="BN35" s="109"/>
      <c r="BO35" s="62">
        <v>0.39583333333333331</v>
      </c>
      <c r="BP35" s="76"/>
      <c r="BQ35" s="72"/>
      <c r="BR35" s="72"/>
      <c r="BT35" s="29" t="s">
        <v>68</v>
      </c>
      <c r="CD35" s="54">
        <v>1.0416666666666666E-2</v>
      </c>
    </row>
    <row r="36" spans="2:82" ht="15.75" customHeight="1">
      <c r="B36" s="12"/>
      <c r="C36" s="122"/>
      <c r="D36" s="132"/>
      <c r="E36" s="102">
        <f>IF($BW$39=0,3,BT60)</f>
        <v>3</v>
      </c>
      <c r="F36" s="102"/>
      <c r="G36" s="102"/>
      <c r="H36" s="102"/>
      <c r="I36" s="58"/>
      <c r="J36" s="103"/>
      <c r="K36" s="104"/>
      <c r="L36" s="104"/>
      <c r="M36" s="58"/>
      <c r="N36" s="128"/>
      <c r="O36" s="129"/>
      <c r="P36" s="130"/>
      <c r="Q36" s="58"/>
      <c r="R36" s="128"/>
      <c r="S36" s="129"/>
      <c r="T36" s="130"/>
      <c r="U36" s="58"/>
      <c r="V36" s="103"/>
      <c r="W36" s="104"/>
      <c r="X36" s="104"/>
      <c r="Y36" s="58"/>
      <c r="Z36" s="128"/>
      <c r="AA36" s="129"/>
      <c r="AB36" s="130"/>
      <c r="AC36" s="58"/>
      <c r="AD36" s="103"/>
      <c r="AE36" s="104"/>
      <c r="AF36" s="118"/>
      <c r="AG36" s="69"/>
      <c r="AH36" s="69"/>
      <c r="AI36" s="17" t="s">
        <v>13</v>
      </c>
      <c r="AJ36" s="16">
        <f>AJ35+1</f>
        <v>86</v>
      </c>
      <c r="AK36" s="69"/>
      <c r="AL36" s="69"/>
      <c r="AM36" s="69"/>
      <c r="AN36" s="16">
        <f>AN35+1</f>
        <v>91</v>
      </c>
      <c r="AO36" s="69"/>
      <c r="AP36" s="69"/>
      <c r="AQ36" s="69"/>
      <c r="AR36" s="16">
        <f>AR35+1</f>
        <v>96</v>
      </c>
      <c r="AS36" s="69"/>
      <c r="AT36" s="69"/>
      <c r="AU36" s="69"/>
      <c r="AV36" s="16">
        <f>AV35+1</f>
        <v>101</v>
      </c>
      <c r="AW36" s="69"/>
      <c r="AX36" s="69"/>
      <c r="AY36" s="69"/>
      <c r="AZ36" s="16">
        <f>AZ35+1</f>
        <v>106</v>
      </c>
      <c r="BA36" s="69"/>
      <c r="BB36" s="69"/>
      <c r="BC36" s="69"/>
      <c r="BD36" s="14"/>
      <c r="BE36" s="15"/>
      <c r="BF36" s="16"/>
      <c r="BI36" s="87"/>
      <c r="BJ36" s="262" t="str">
        <f>IF(OR(BO35=CD43,BO35=CD44,BO35=CD45,BO35=CD46,BO35=CD47),"","Atualize o horário do intervalo neste período")</f>
        <v/>
      </c>
      <c r="BK36" s="262"/>
      <c r="BL36" s="262"/>
      <c r="BM36" s="262"/>
      <c r="BN36" s="262"/>
      <c r="BO36" s="90"/>
      <c r="BP36" s="88"/>
      <c r="BQ36" s="72"/>
      <c r="BR36" s="72"/>
      <c r="BT36" s="29" t="s">
        <v>69</v>
      </c>
      <c r="CD36" s="54">
        <v>1.3888888888888888E-2</v>
      </c>
    </row>
    <row r="37" spans="2:82" ht="15.75" customHeight="1">
      <c r="B37" s="12"/>
      <c r="C37" s="122"/>
      <c r="D37" s="132"/>
      <c r="E37" s="102">
        <f>IF($BW$39=0,4,BT61)</f>
        <v>4</v>
      </c>
      <c r="F37" s="102"/>
      <c r="G37" s="102"/>
      <c r="H37" s="102"/>
      <c r="I37" s="58"/>
      <c r="J37" s="103"/>
      <c r="K37" s="104"/>
      <c r="L37" s="104"/>
      <c r="M37" s="58"/>
      <c r="N37" s="128"/>
      <c r="O37" s="129"/>
      <c r="P37" s="130"/>
      <c r="Q37" s="58"/>
      <c r="R37" s="128"/>
      <c r="S37" s="129"/>
      <c r="T37" s="130"/>
      <c r="U37" s="58"/>
      <c r="V37" s="103"/>
      <c r="W37" s="104"/>
      <c r="X37" s="104"/>
      <c r="Y37" s="58"/>
      <c r="Z37" s="128"/>
      <c r="AA37" s="129"/>
      <c r="AB37" s="130"/>
      <c r="AC37" s="58"/>
      <c r="AD37" s="103"/>
      <c r="AE37" s="104"/>
      <c r="AF37" s="118"/>
      <c r="AG37" s="69"/>
      <c r="AH37" s="69"/>
      <c r="AI37" s="17" t="s">
        <v>13</v>
      </c>
      <c r="AJ37" s="16">
        <f>AJ36+1</f>
        <v>87</v>
      </c>
      <c r="AK37" s="69"/>
      <c r="AL37" s="69"/>
      <c r="AM37" s="69"/>
      <c r="AN37" s="16">
        <f>AN36+1</f>
        <v>92</v>
      </c>
      <c r="AO37" s="69"/>
      <c r="AP37" s="69"/>
      <c r="AQ37" s="69"/>
      <c r="AR37" s="16">
        <f>AR36+1</f>
        <v>97</v>
      </c>
      <c r="AS37" s="69"/>
      <c r="AT37" s="69"/>
      <c r="AU37" s="69"/>
      <c r="AV37" s="16">
        <f>AV36+1</f>
        <v>102</v>
      </c>
      <c r="AW37" s="69"/>
      <c r="AX37" s="69"/>
      <c r="AY37" s="69"/>
      <c r="AZ37" s="16">
        <f>AZ36+1</f>
        <v>107</v>
      </c>
      <c r="BA37" s="69"/>
      <c r="BB37" s="69"/>
      <c r="BC37" s="69"/>
      <c r="BD37" s="14"/>
      <c r="BE37" s="15"/>
      <c r="BF37" s="16"/>
      <c r="BT37" s="29" t="s">
        <v>70</v>
      </c>
      <c r="BW37" s="10" t="s">
        <v>92</v>
      </c>
      <c r="CD37" s="54">
        <v>1.7361111111111112E-2</v>
      </c>
    </row>
    <row r="38" spans="2:82" ht="15.75" customHeight="1" thickBot="1">
      <c r="B38" s="12"/>
      <c r="C38" s="133"/>
      <c r="D38" s="134"/>
      <c r="E38" s="189">
        <f>IF($BW$39=0,5,BT62)</f>
        <v>5</v>
      </c>
      <c r="F38" s="189"/>
      <c r="G38" s="189"/>
      <c r="H38" s="189"/>
      <c r="I38" s="59"/>
      <c r="J38" s="143"/>
      <c r="K38" s="144"/>
      <c r="L38" s="145"/>
      <c r="M38" s="59"/>
      <c r="N38" s="143"/>
      <c r="O38" s="144"/>
      <c r="P38" s="145"/>
      <c r="Q38" s="59"/>
      <c r="R38" s="143"/>
      <c r="S38" s="144"/>
      <c r="T38" s="145"/>
      <c r="U38" s="59"/>
      <c r="V38" s="143"/>
      <c r="W38" s="144"/>
      <c r="X38" s="145"/>
      <c r="Y38" s="59"/>
      <c r="Z38" s="143"/>
      <c r="AA38" s="144"/>
      <c r="AB38" s="145"/>
      <c r="AC38" s="59"/>
      <c r="AD38" s="160"/>
      <c r="AE38" s="161"/>
      <c r="AF38" s="162"/>
      <c r="AG38" s="69"/>
      <c r="AH38" s="69"/>
      <c r="AI38" s="17" t="s">
        <v>13</v>
      </c>
      <c r="AJ38" s="16">
        <f>AJ37+1</f>
        <v>88</v>
      </c>
      <c r="AK38" s="69"/>
      <c r="AL38" s="69"/>
      <c r="AM38" s="69"/>
      <c r="AN38" s="16">
        <f>AN37+1</f>
        <v>93</v>
      </c>
      <c r="AO38" s="69"/>
      <c r="AP38" s="69"/>
      <c r="AQ38" s="69"/>
      <c r="AR38" s="16">
        <f>AR37+1</f>
        <v>98</v>
      </c>
      <c r="AS38" s="69"/>
      <c r="AT38" s="69"/>
      <c r="AU38" s="69"/>
      <c r="AV38" s="16">
        <f>AV37+1</f>
        <v>103</v>
      </c>
      <c r="AW38" s="69"/>
      <c r="AX38" s="69"/>
      <c r="AY38" s="69"/>
      <c r="AZ38" s="16">
        <f>AZ37+1</f>
        <v>108</v>
      </c>
      <c r="BA38" s="69"/>
      <c r="BB38" s="69"/>
      <c r="BC38" s="69"/>
      <c r="BD38" s="14"/>
      <c r="BE38" s="15"/>
      <c r="BF38" s="16"/>
      <c r="BI38" s="89"/>
      <c r="BJ38" s="261" t="s">
        <v>126</v>
      </c>
      <c r="BK38" s="261"/>
      <c r="BL38" s="261"/>
      <c r="BM38" s="261"/>
      <c r="BN38" s="261"/>
      <c r="BO38" s="74">
        <v>1.0416666666666666E-2</v>
      </c>
      <c r="BP38" s="75"/>
      <c r="BT38" s="29" t="s">
        <v>71</v>
      </c>
      <c r="BW38" s="52" t="b">
        <v>0</v>
      </c>
      <c r="CD38" s="54">
        <v>2.0833333333333332E-2</v>
      </c>
    </row>
    <row r="39" spans="2:82" ht="15.75" customHeight="1">
      <c r="B39" s="12"/>
      <c r="C39" s="45"/>
      <c r="D39" s="45"/>
      <c r="E39" s="45"/>
      <c r="F39" s="70"/>
      <c r="G39" s="70"/>
      <c r="H39" s="70"/>
      <c r="I39" s="48"/>
      <c r="J39" s="46"/>
      <c r="K39" s="46"/>
      <c r="L39" s="46"/>
      <c r="M39" s="48"/>
      <c r="N39" s="46"/>
      <c r="O39" s="46"/>
      <c r="P39" s="46"/>
      <c r="Q39" s="48"/>
      <c r="R39" s="46"/>
      <c r="S39" s="46"/>
      <c r="T39" s="46"/>
      <c r="U39" s="48"/>
      <c r="V39" s="46"/>
      <c r="W39" s="46"/>
      <c r="X39" s="46"/>
      <c r="Y39" s="48"/>
      <c r="Z39" s="46"/>
      <c r="AA39" s="46"/>
      <c r="AB39" s="46"/>
      <c r="AC39" s="48"/>
      <c r="AD39" s="46"/>
      <c r="AE39" s="47"/>
      <c r="AF39" s="47"/>
      <c r="AG39" s="69"/>
      <c r="AH39" s="69"/>
      <c r="AI39" s="17"/>
      <c r="AJ39" s="16"/>
      <c r="AK39" s="69"/>
      <c r="AL39" s="69"/>
      <c r="AM39" s="69"/>
      <c r="AN39" s="16"/>
      <c r="AO39" s="69"/>
      <c r="AP39" s="69"/>
      <c r="AQ39" s="69"/>
      <c r="AR39" s="16"/>
      <c r="AS39" s="69"/>
      <c r="AT39" s="69"/>
      <c r="AU39" s="69"/>
      <c r="AV39" s="16"/>
      <c r="AW39" s="69"/>
      <c r="AX39" s="69"/>
      <c r="AY39" s="69"/>
      <c r="AZ39" s="16"/>
      <c r="BA39" s="69"/>
      <c r="BB39" s="69"/>
      <c r="BC39" s="69"/>
      <c r="BD39" s="14"/>
      <c r="BE39" s="15"/>
      <c r="BF39" s="16"/>
      <c r="BI39" s="80"/>
      <c r="BJ39" s="72"/>
      <c r="BK39" s="72"/>
      <c r="BL39" s="72"/>
      <c r="BM39" s="72"/>
      <c r="BN39" s="72"/>
      <c r="BO39" s="72"/>
      <c r="BP39" s="76"/>
      <c r="BW39" s="8">
        <f>IF(BW38=TRUE,1,0)</f>
        <v>0</v>
      </c>
    </row>
    <row r="40" spans="2:82" ht="15.75" customHeight="1" thickBot="1">
      <c r="B40" s="12"/>
      <c r="C40" s="188" t="str">
        <f>IF(BW11=0,"Selecione seu regime de trabalho.",IF(OR(BN24="",BJ24=BL20),"",IF(BN24=1,"Falta 1 célula",IF(BJ24&lt;BL20,"Ainda faltam "&amp;BN24&amp;" células",IF(BJ24&gt;BL20,"Número máximo de células ultrapassado! Apague "&amp;BJ24-BL20&amp;" célula(s)")))))</f>
        <v>Ainda faltam 29 células</v>
      </c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69"/>
      <c r="AH40" s="69"/>
      <c r="AI40" s="17"/>
      <c r="AJ40" s="16"/>
      <c r="AK40" s="69"/>
      <c r="AL40" s="69"/>
      <c r="AM40" s="69"/>
      <c r="AN40" s="16"/>
      <c r="AO40" s="69"/>
      <c r="AP40" s="69"/>
      <c r="AQ40" s="69"/>
      <c r="AR40" s="16"/>
      <c r="AS40" s="69"/>
      <c r="AT40" s="69"/>
      <c r="AU40" s="69"/>
      <c r="AV40" s="16"/>
      <c r="AW40" s="69"/>
      <c r="AX40" s="69"/>
      <c r="AY40" s="69"/>
      <c r="AZ40" s="16"/>
      <c r="BA40" s="69"/>
      <c r="BB40" s="69"/>
      <c r="BC40" s="69"/>
      <c r="BD40" s="14"/>
      <c r="BE40" s="15"/>
      <c r="BF40" s="16"/>
      <c r="BI40" s="80"/>
      <c r="BJ40" s="109" t="s">
        <v>109</v>
      </c>
      <c r="BK40" s="109"/>
      <c r="BL40" s="109"/>
      <c r="BM40" s="109"/>
      <c r="BN40" s="109"/>
      <c r="BO40" s="82" t="str">
        <f>IF(BU54=0,BU53&amp;":"&amp;BU54&amp;BU54,IF(BU54=5,BU53&amp;":"&amp;0&amp;BU54,BU53&amp;":"&amp;BU54))</f>
        <v>12:20</v>
      </c>
      <c r="BP40" s="76"/>
      <c r="BT40" s="8" t="s">
        <v>93</v>
      </c>
      <c r="CA40" s="50" t="s">
        <v>94</v>
      </c>
    </row>
    <row r="41" spans="2:82" ht="15.75" customHeight="1">
      <c r="B41" s="12"/>
      <c r="C41" s="146" t="s">
        <v>89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8"/>
      <c r="AG41" s="69"/>
      <c r="AH41" s="69"/>
      <c r="AI41" s="17"/>
      <c r="AJ41" s="16"/>
      <c r="AK41" s="69"/>
      <c r="AL41" s="69"/>
      <c r="AM41" s="69"/>
      <c r="AN41" s="16"/>
      <c r="AO41" s="69"/>
      <c r="AP41" s="69"/>
      <c r="AQ41" s="69"/>
      <c r="AR41" s="16"/>
      <c r="AS41" s="69"/>
      <c r="AT41" s="69"/>
      <c r="AU41" s="69"/>
      <c r="AV41" s="16"/>
      <c r="AW41" s="69"/>
      <c r="AX41" s="69"/>
      <c r="AY41" s="69"/>
      <c r="AZ41" s="16"/>
      <c r="BA41" s="69"/>
      <c r="BB41" s="69"/>
      <c r="BC41" s="69"/>
      <c r="BD41" s="14"/>
      <c r="BE41" s="15"/>
      <c r="BF41" s="16"/>
      <c r="BI41" s="80"/>
      <c r="BJ41" s="72"/>
      <c r="BK41" s="72"/>
      <c r="BL41" s="72"/>
      <c r="BM41" s="72"/>
      <c r="BN41" s="72"/>
      <c r="BO41" s="72"/>
      <c r="BP41" s="76"/>
      <c r="BT41" s="8">
        <f>IF(OR(BO31="",BO33="",BO35="",BO40="",BO42="",BO47="",BO49=""),0,1)</f>
        <v>1</v>
      </c>
      <c r="BV41" s="50"/>
      <c r="BW41" s="50"/>
      <c r="BX41" s="50"/>
      <c r="BY41" s="50"/>
      <c r="BZ41" s="50"/>
      <c r="CD41" s="50"/>
    </row>
    <row r="42" spans="2:82" ht="15.75" customHeight="1">
      <c r="B42" s="12"/>
      <c r="C42" s="149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1"/>
      <c r="AG42" s="69"/>
      <c r="AH42" s="69"/>
      <c r="AI42" s="17"/>
      <c r="AJ42" s="16"/>
      <c r="AK42" s="69"/>
      <c r="AL42" s="69"/>
      <c r="AM42" s="69"/>
      <c r="AN42" s="16"/>
      <c r="AO42" s="69"/>
      <c r="AP42" s="69"/>
      <c r="AQ42" s="69"/>
      <c r="AR42" s="16"/>
      <c r="AS42" s="69"/>
      <c r="AT42" s="69"/>
      <c r="AU42" s="69"/>
      <c r="AV42" s="16"/>
      <c r="AW42" s="69"/>
      <c r="AX42" s="69"/>
      <c r="AY42" s="69"/>
      <c r="AZ42" s="16"/>
      <c r="BA42" s="69"/>
      <c r="BB42" s="69"/>
      <c r="BC42" s="69"/>
      <c r="BD42" s="14"/>
      <c r="BE42" s="15"/>
      <c r="BF42" s="16"/>
      <c r="BI42" s="80"/>
      <c r="BJ42" s="109" t="s">
        <v>95</v>
      </c>
      <c r="BK42" s="109"/>
      <c r="BL42" s="109"/>
      <c r="BM42" s="109"/>
      <c r="BN42" s="109"/>
      <c r="BO42" s="62">
        <v>0.61805555555555558</v>
      </c>
      <c r="BP42" s="76"/>
      <c r="BT42" s="51" t="str">
        <f t="shared" ref="BT42:BT47" si="0">HOUR(BV42)&amp;"h"&amp;BX42&amp;" - "&amp;HOUR(BW42)&amp;"h"&amp;BY42</f>
        <v>7h00 - 7h50</v>
      </c>
      <c r="BU42" s="8" t="s">
        <v>96</v>
      </c>
      <c r="BV42" s="51" t="str">
        <f>CA42</f>
        <v>7:00</v>
      </c>
      <c r="BW42" s="51">
        <f t="shared" ref="BW42:BW47" si="1">BV42+$BW$34</f>
        <v>0.3263888888888889</v>
      </c>
      <c r="BX42" s="51" t="str">
        <f>IF(MINUTE(BV42)=0,MINUTE(BV42)&amp;MINUTE(BV42),IF(MINUTE(BV42)&lt;10,"0"&amp;MINUTE(BV42),MINUTE(BV42)))</f>
        <v>00</v>
      </c>
      <c r="BY42" s="53">
        <f>IF(MINUTE(BW42)=0,MINUTE(BW42)&amp;MINUTE(BW42),IF(MINUTE(BW42)&lt;10,"0"&amp;MINUTE(BW42),MINUTE(BW42)))</f>
        <v>50</v>
      </c>
      <c r="CA42" s="54" t="str">
        <f>BO33</f>
        <v>7:00</v>
      </c>
      <c r="CD42" s="51" t="str">
        <f>CA42</f>
        <v>7:00</v>
      </c>
    </row>
    <row r="43" spans="2:82" ht="15.75" customHeight="1">
      <c r="B43" s="12"/>
      <c r="C43" s="98" t="s">
        <v>18</v>
      </c>
      <c r="D43" s="164"/>
      <c r="E43" s="163" t="s">
        <v>8</v>
      </c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64"/>
      <c r="R43" s="163" t="s">
        <v>17</v>
      </c>
      <c r="S43" s="99"/>
      <c r="T43" s="99"/>
      <c r="U43" s="99"/>
      <c r="V43" s="99"/>
      <c r="W43" s="99"/>
      <c r="X43" s="99"/>
      <c r="Y43" s="99"/>
      <c r="Z43" s="99"/>
      <c r="AA43" s="164"/>
      <c r="AB43" s="163" t="s">
        <v>1</v>
      </c>
      <c r="AC43" s="99"/>
      <c r="AD43" s="164"/>
      <c r="AE43" s="110" t="s">
        <v>7</v>
      </c>
      <c r="AF43" s="165"/>
      <c r="AG43" s="68"/>
      <c r="AH43" s="69"/>
      <c r="AI43" s="17" t="s">
        <v>13</v>
      </c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14"/>
      <c r="BE43" s="15"/>
      <c r="BF43" s="1"/>
      <c r="BI43" s="87"/>
      <c r="BJ43" s="262" t="str">
        <f>IF(OR(BO42=CD51,BO42=CD52,BO42=CD53,BO42=CD54,BO42=CD55),"","Atualize o horário do intervalo neste período")</f>
        <v/>
      </c>
      <c r="BK43" s="262"/>
      <c r="BL43" s="262"/>
      <c r="BM43" s="262"/>
      <c r="BN43" s="262"/>
      <c r="BO43" s="78"/>
      <c r="BP43" s="79"/>
      <c r="BT43" s="51" t="str">
        <f t="shared" si="0"/>
        <v>7h50 - 8h40</v>
      </c>
      <c r="BU43" s="55">
        <v>420</v>
      </c>
      <c r="BV43" s="51">
        <f>IF(BW42=$BO$35,BW42+$BO$31,BW42)</f>
        <v>0.3263888888888889</v>
      </c>
      <c r="BW43" s="51">
        <f t="shared" si="1"/>
        <v>0.3611111111111111</v>
      </c>
      <c r="BX43" s="53">
        <f t="shared" ref="BX43:BY47" si="2">IF(MINUTE(BV43)=0,MINUTE(BV43)&amp;MINUTE(BV43),IF(MINUTE(BV43)&lt;10,"0"&amp;MINUTE(BV43),MINUTE(BV43)))</f>
        <v>50</v>
      </c>
      <c r="BY43" s="53">
        <f t="shared" si="2"/>
        <v>40</v>
      </c>
      <c r="CA43" s="50"/>
      <c r="CD43" s="51">
        <f>CD42+$BW$34</f>
        <v>0.3263888888888889</v>
      </c>
    </row>
    <row r="44" spans="2:82" ht="15.75" customHeight="1">
      <c r="B44" s="12"/>
      <c r="C44" s="108"/>
      <c r="D44" s="107"/>
      <c r="E44" s="105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7"/>
      <c r="R44" s="105"/>
      <c r="S44" s="106"/>
      <c r="T44" s="106"/>
      <c r="U44" s="106"/>
      <c r="V44" s="106"/>
      <c r="W44" s="106"/>
      <c r="X44" s="106"/>
      <c r="Y44" s="106"/>
      <c r="Z44" s="106"/>
      <c r="AA44" s="107"/>
      <c r="AB44" s="113"/>
      <c r="AC44" s="114"/>
      <c r="AD44" s="115"/>
      <c r="AE44" s="135"/>
      <c r="AF44" s="136"/>
      <c r="AG44" s="68"/>
      <c r="AH44" s="69"/>
      <c r="AI44" s="17" t="s">
        <v>13</v>
      </c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14"/>
      <c r="BE44" s="15"/>
      <c r="BF44" s="1"/>
      <c r="BO44" s="91"/>
      <c r="BP44" s="61"/>
      <c r="BT44" s="51" t="str">
        <f t="shared" si="0"/>
        <v>8h40 - 9h30</v>
      </c>
      <c r="BU44" s="56"/>
      <c r="BV44" s="51">
        <f>IF(BW43=$BO$35,BW43+$BO$31,BW43)</f>
        <v>0.3611111111111111</v>
      </c>
      <c r="BW44" s="51">
        <f t="shared" si="1"/>
        <v>0.39583333333333331</v>
      </c>
      <c r="BX44" s="53">
        <f t="shared" si="2"/>
        <v>40</v>
      </c>
      <c r="BY44" s="53">
        <f t="shared" si="2"/>
        <v>30</v>
      </c>
      <c r="CA44" s="50"/>
      <c r="CD44" s="51">
        <f>CD43+$BW$34</f>
        <v>0.3611111111111111</v>
      </c>
    </row>
    <row r="45" spans="2:82" ht="15.75" customHeight="1">
      <c r="B45" s="12"/>
      <c r="C45" s="108"/>
      <c r="D45" s="107"/>
      <c r="E45" s="105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7"/>
      <c r="R45" s="105"/>
      <c r="S45" s="106"/>
      <c r="T45" s="106"/>
      <c r="U45" s="106"/>
      <c r="V45" s="106"/>
      <c r="W45" s="106"/>
      <c r="X45" s="106"/>
      <c r="Y45" s="106"/>
      <c r="Z45" s="106"/>
      <c r="AA45" s="107"/>
      <c r="AB45" s="113"/>
      <c r="AC45" s="114"/>
      <c r="AD45" s="115"/>
      <c r="AE45" s="135"/>
      <c r="AF45" s="136"/>
      <c r="AG45" s="68"/>
      <c r="AH45" s="69"/>
      <c r="AI45" s="17" t="s">
        <v>13</v>
      </c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14"/>
      <c r="BE45" s="15"/>
      <c r="BF45" s="16"/>
      <c r="BI45" s="89"/>
      <c r="BJ45" s="261" t="s">
        <v>127</v>
      </c>
      <c r="BK45" s="261"/>
      <c r="BL45" s="261"/>
      <c r="BM45" s="261"/>
      <c r="BN45" s="261"/>
      <c r="BO45" s="74">
        <v>1.0416666666666666E-2</v>
      </c>
      <c r="BP45" s="75"/>
      <c r="BQ45" s="72"/>
      <c r="BR45" s="72"/>
      <c r="BT45" s="51" t="str">
        <f t="shared" si="0"/>
        <v>9h45 - 10h35</v>
      </c>
      <c r="BU45" s="8">
        <f>TRUNC(BU43/60,0)</f>
        <v>7</v>
      </c>
      <c r="BV45" s="51">
        <f>IF(BW44=$BO$35,BW44+$BO$31,BW44)</f>
        <v>0.40625</v>
      </c>
      <c r="BW45" s="51">
        <f t="shared" si="1"/>
        <v>0.44097222222222221</v>
      </c>
      <c r="BX45" s="53">
        <f t="shared" si="2"/>
        <v>45</v>
      </c>
      <c r="BY45" s="53">
        <f t="shared" si="2"/>
        <v>35</v>
      </c>
      <c r="CD45" s="51">
        <f>CD44+$BW$34</f>
        <v>0.39583333333333331</v>
      </c>
    </row>
    <row r="46" spans="2:82" ht="15.75" customHeight="1">
      <c r="B46" s="12"/>
      <c r="C46" s="108"/>
      <c r="D46" s="107"/>
      <c r="E46" s="105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7"/>
      <c r="R46" s="105"/>
      <c r="S46" s="106"/>
      <c r="T46" s="106"/>
      <c r="U46" s="106"/>
      <c r="V46" s="106"/>
      <c r="W46" s="106"/>
      <c r="X46" s="106"/>
      <c r="Y46" s="106"/>
      <c r="Z46" s="106"/>
      <c r="AA46" s="107"/>
      <c r="AB46" s="113"/>
      <c r="AC46" s="114"/>
      <c r="AD46" s="115"/>
      <c r="AE46" s="135"/>
      <c r="AF46" s="136"/>
      <c r="AG46" s="68"/>
      <c r="AH46" s="69"/>
      <c r="AI46" s="17" t="s">
        <v>13</v>
      </c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14"/>
      <c r="BE46" s="15"/>
      <c r="BF46" s="16"/>
      <c r="BI46" s="80"/>
      <c r="BJ46" s="72"/>
      <c r="BK46" s="72"/>
      <c r="BL46" s="72"/>
      <c r="BM46" s="72"/>
      <c r="BN46" s="72"/>
      <c r="BO46" s="72"/>
      <c r="BP46" s="93"/>
      <c r="BQ46" s="72"/>
      <c r="BR46" s="72"/>
      <c r="BT46" s="51" t="str">
        <f t="shared" si="0"/>
        <v>10h35 - 11h25</v>
      </c>
      <c r="BU46" s="55">
        <f>BU43-BU45*60</f>
        <v>0</v>
      </c>
      <c r="BV46" s="51">
        <f>IF(BW45=$BO$35,BW45+$BO$31,BW45)</f>
        <v>0.44097222222222221</v>
      </c>
      <c r="BW46" s="51">
        <f t="shared" si="1"/>
        <v>0.47569444444444442</v>
      </c>
      <c r="BX46" s="53">
        <f t="shared" si="2"/>
        <v>35</v>
      </c>
      <c r="BY46" s="53">
        <f t="shared" si="2"/>
        <v>25</v>
      </c>
      <c r="CA46" s="50"/>
      <c r="CD46" s="51">
        <f>CD45+$BW$34</f>
        <v>0.43055555555555552</v>
      </c>
    </row>
    <row r="47" spans="2:82" ht="15.75" customHeight="1">
      <c r="B47" s="12"/>
      <c r="C47" s="108"/>
      <c r="D47" s="107"/>
      <c r="E47" s="105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7"/>
      <c r="R47" s="105"/>
      <c r="S47" s="106"/>
      <c r="T47" s="106"/>
      <c r="U47" s="106"/>
      <c r="V47" s="106"/>
      <c r="W47" s="106"/>
      <c r="X47" s="106"/>
      <c r="Y47" s="106"/>
      <c r="Z47" s="106"/>
      <c r="AA47" s="107"/>
      <c r="AB47" s="113"/>
      <c r="AC47" s="114"/>
      <c r="AD47" s="115"/>
      <c r="AE47" s="135"/>
      <c r="AF47" s="136"/>
      <c r="AG47" s="68"/>
      <c r="AH47" s="69"/>
      <c r="AI47" s="17" t="s">
        <v>13</v>
      </c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14"/>
      <c r="BE47" s="15"/>
      <c r="BF47" s="16"/>
      <c r="BI47" s="80"/>
      <c r="BJ47" s="109" t="s">
        <v>110</v>
      </c>
      <c r="BK47" s="109"/>
      <c r="BL47" s="109"/>
      <c r="BM47" s="109"/>
      <c r="BN47" s="109"/>
      <c r="BO47" s="82" t="str">
        <f>IF(BU62=0,BU61&amp;":"&amp;BU62&amp;BU62,IF(BU62=5,BU61&amp;":"&amp;0&amp;BU62,BU61&amp;":"&amp;BU62))</f>
        <v>18:10</v>
      </c>
      <c r="BP47" s="76"/>
      <c r="BQ47" s="72"/>
      <c r="BR47" s="72"/>
      <c r="BT47" s="51" t="str">
        <f t="shared" si="0"/>
        <v>11h25 - 12h15</v>
      </c>
      <c r="BV47" s="51">
        <f>IF(BW46=$BO$35,BW46+$BO$31,BW46)</f>
        <v>0.47569444444444442</v>
      </c>
      <c r="BW47" s="51">
        <f t="shared" si="1"/>
        <v>0.51041666666666663</v>
      </c>
      <c r="BX47" s="53">
        <f t="shared" si="2"/>
        <v>25</v>
      </c>
      <c r="BY47" s="53">
        <f t="shared" si="2"/>
        <v>15</v>
      </c>
      <c r="CD47" s="51">
        <f>CD46+$BW$34</f>
        <v>0.46527777777777773</v>
      </c>
    </row>
    <row r="48" spans="2:82" ht="15.75" customHeight="1">
      <c r="B48" s="12"/>
      <c r="C48" s="64"/>
      <c r="D48" s="65"/>
      <c r="E48" s="105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7"/>
      <c r="R48" s="105"/>
      <c r="S48" s="106"/>
      <c r="T48" s="106"/>
      <c r="U48" s="106"/>
      <c r="V48" s="106"/>
      <c r="W48" s="106"/>
      <c r="X48" s="106"/>
      <c r="Y48" s="106"/>
      <c r="Z48" s="106"/>
      <c r="AA48" s="107"/>
      <c r="AB48" s="113"/>
      <c r="AC48" s="114"/>
      <c r="AD48" s="115"/>
      <c r="AE48" s="135"/>
      <c r="AF48" s="136"/>
      <c r="AG48" s="68"/>
      <c r="AH48" s="69"/>
      <c r="AI48" s="17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14"/>
      <c r="BE48" s="15"/>
      <c r="BF48" s="16"/>
      <c r="BI48" s="80"/>
      <c r="BJ48" s="72"/>
      <c r="BK48" s="72"/>
      <c r="BL48" s="72"/>
      <c r="BM48" s="72"/>
      <c r="BN48" s="72"/>
      <c r="BO48" s="72"/>
      <c r="BP48" s="94"/>
      <c r="BQ48" s="72"/>
      <c r="BR48" s="72"/>
      <c r="BT48" s="50"/>
      <c r="BV48" s="49"/>
      <c r="BW48" s="49"/>
      <c r="BX48" s="50"/>
      <c r="BY48" s="50"/>
      <c r="CA48" s="50"/>
      <c r="CD48" s="49"/>
    </row>
    <row r="49" spans="2:82" ht="15.75" customHeight="1">
      <c r="B49" s="12"/>
      <c r="C49" s="108"/>
      <c r="D49" s="107"/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7"/>
      <c r="R49" s="105"/>
      <c r="S49" s="106"/>
      <c r="T49" s="106"/>
      <c r="U49" s="106"/>
      <c r="V49" s="106"/>
      <c r="W49" s="106"/>
      <c r="X49" s="106"/>
      <c r="Y49" s="106"/>
      <c r="Z49" s="106"/>
      <c r="AA49" s="107"/>
      <c r="AB49" s="113"/>
      <c r="AC49" s="114"/>
      <c r="AD49" s="115"/>
      <c r="AE49" s="135"/>
      <c r="AF49" s="136"/>
      <c r="AG49" s="68"/>
      <c r="AH49" s="69"/>
      <c r="AI49" s="17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14"/>
      <c r="BE49" s="15"/>
      <c r="BF49" s="16"/>
      <c r="BI49" s="80"/>
      <c r="BJ49" s="109" t="s">
        <v>95</v>
      </c>
      <c r="BK49" s="109"/>
      <c r="BL49" s="109"/>
      <c r="BM49" s="109"/>
      <c r="BN49" s="109"/>
      <c r="BO49" s="62">
        <v>0.86111111111111116</v>
      </c>
      <c r="BP49" s="76"/>
      <c r="BQ49" s="72"/>
      <c r="BR49" s="72"/>
      <c r="BT49" s="50"/>
      <c r="BU49" s="57"/>
      <c r="BV49" s="49"/>
      <c r="BW49" s="49"/>
      <c r="BX49" s="50"/>
      <c r="BY49" s="50"/>
      <c r="CA49" s="50"/>
      <c r="CD49" s="49"/>
    </row>
    <row r="50" spans="2:82" ht="15.75" customHeight="1">
      <c r="B50" s="12"/>
      <c r="C50" s="108"/>
      <c r="D50" s="107"/>
      <c r="E50" s="105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  <c r="R50" s="105"/>
      <c r="S50" s="106"/>
      <c r="T50" s="106"/>
      <c r="U50" s="106"/>
      <c r="V50" s="106"/>
      <c r="W50" s="106"/>
      <c r="X50" s="106"/>
      <c r="Y50" s="106"/>
      <c r="Z50" s="106"/>
      <c r="AA50" s="107"/>
      <c r="AB50" s="113"/>
      <c r="AC50" s="114"/>
      <c r="AD50" s="115"/>
      <c r="AE50" s="135"/>
      <c r="AF50" s="136"/>
      <c r="AG50" s="68"/>
      <c r="AH50" s="69"/>
      <c r="AI50" s="17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14"/>
      <c r="BE50" s="15"/>
      <c r="BF50" s="16"/>
      <c r="BI50" s="87"/>
      <c r="BJ50" s="262" t="str">
        <f>IF(OR(BO49=CD58,BO49=CD59,BO49=CD60,BO49=CD61,BO49=CD62),"","Atualize o horário do intervalo neste período")</f>
        <v/>
      </c>
      <c r="BK50" s="262"/>
      <c r="BL50" s="262"/>
      <c r="BM50" s="262"/>
      <c r="BN50" s="262"/>
      <c r="BO50" s="90"/>
      <c r="BP50" s="79"/>
      <c r="BQ50" s="72"/>
      <c r="BR50" s="72"/>
      <c r="BT50" s="51" t="str">
        <f t="shared" ref="BT50:BT55" si="3">HOUR(BV50)&amp;"h"&amp;BX50&amp;" - "&amp;HOUR(BW50)&amp;"h"&amp;BY50</f>
        <v>12h20 - 13h10</v>
      </c>
      <c r="BU50" s="8" t="s">
        <v>96</v>
      </c>
      <c r="BV50" s="51" t="str">
        <f>CA50</f>
        <v>12:20</v>
      </c>
      <c r="BW50" s="51">
        <f t="shared" ref="BW50:BW55" si="4">BV50+$BW$34</f>
        <v>0.54861111111111116</v>
      </c>
      <c r="BX50" s="53">
        <f>IF(MINUTE(BV50)=0,MINUTE(BV50)&amp;MINUTE(BV50),IF(MINUTE(BV50)&lt;10,"0"&amp;MINUTE(BV50),MINUTE(BV50)))</f>
        <v>20</v>
      </c>
      <c r="BY50" s="53">
        <f>IF(MINUTE(BW50)=0,MINUTE(BW50)&amp;MINUTE(BW50),IF(MINUTE(BW50)&lt;10,"0"&amp;MINUTE(BW50),MINUTE(BW50)))</f>
        <v>10</v>
      </c>
      <c r="CA50" s="54" t="str">
        <f>BO40</f>
        <v>12:20</v>
      </c>
      <c r="CD50" s="51" t="str">
        <f>CA50</f>
        <v>12:20</v>
      </c>
    </row>
    <row r="51" spans="2:82" ht="15.75" customHeight="1">
      <c r="B51" s="12"/>
      <c r="C51" s="108"/>
      <c r="D51" s="107"/>
      <c r="E51" s="175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7"/>
      <c r="R51" s="105"/>
      <c r="S51" s="106"/>
      <c r="T51" s="106"/>
      <c r="U51" s="106"/>
      <c r="V51" s="106"/>
      <c r="W51" s="106"/>
      <c r="X51" s="106"/>
      <c r="Y51" s="106"/>
      <c r="Z51" s="106"/>
      <c r="AA51" s="107"/>
      <c r="AB51" s="113"/>
      <c r="AC51" s="114"/>
      <c r="AD51" s="115"/>
      <c r="AE51" s="135"/>
      <c r="AF51" s="136"/>
      <c r="AG51" s="68"/>
      <c r="AH51" s="69"/>
      <c r="AI51" s="17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14"/>
      <c r="BE51" s="15"/>
      <c r="BF51" s="16"/>
      <c r="BI51" s="72"/>
      <c r="BJ51" s="72"/>
      <c r="BK51" s="72"/>
      <c r="BL51" s="72"/>
      <c r="BM51" s="72"/>
      <c r="BN51" s="72"/>
      <c r="BO51" s="72"/>
      <c r="BP51" s="81"/>
      <c r="BQ51" s="72"/>
      <c r="BR51" s="72"/>
      <c r="BT51" s="51" t="str">
        <f t="shared" si="3"/>
        <v>13h10 - 14h00</v>
      </c>
      <c r="BU51" s="55">
        <v>740</v>
      </c>
      <c r="BV51" s="51">
        <f>IF(BW50=$BO$42,BW50+$BO$38,BW50)</f>
        <v>0.54861111111111116</v>
      </c>
      <c r="BW51" s="51">
        <f t="shared" si="4"/>
        <v>0.58333333333333337</v>
      </c>
      <c r="BX51" s="53">
        <f t="shared" ref="BX51:BY55" si="5">IF(MINUTE(BV51)=0,MINUTE(BV51)&amp;MINUTE(BV51),IF(MINUTE(BV51)&lt;10,"0"&amp;MINUTE(BV51),MINUTE(BV51)))</f>
        <v>10</v>
      </c>
      <c r="BY51" s="53" t="str">
        <f t="shared" si="5"/>
        <v>00</v>
      </c>
      <c r="CA51" s="50"/>
      <c r="CD51" s="51">
        <f>CD50+$BW$34</f>
        <v>0.54861111111111116</v>
      </c>
    </row>
    <row r="52" spans="2:82" ht="15.75" customHeight="1">
      <c r="B52" s="12"/>
      <c r="C52" s="108"/>
      <c r="D52" s="107"/>
      <c r="E52" s="175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7"/>
      <c r="R52" s="105"/>
      <c r="S52" s="106"/>
      <c r="T52" s="106"/>
      <c r="U52" s="106"/>
      <c r="V52" s="106"/>
      <c r="W52" s="106"/>
      <c r="X52" s="106"/>
      <c r="Y52" s="106"/>
      <c r="Z52" s="106"/>
      <c r="AA52" s="107"/>
      <c r="AB52" s="113"/>
      <c r="AC52" s="114"/>
      <c r="AD52" s="115"/>
      <c r="AE52" s="135"/>
      <c r="AF52" s="136"/>
      <c r="AG52" s="69"/>
      <c r="AH52" s="69"/>
      <c r="AI52" s="17" t="s">
        <v>13</v>
      </c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14"/>
      <c r="BE52" s="15"/>
      <c r="BF52" s="16"/>
      <c r="BI52" s="72"/>
      <c r="BJ52" s="72"/>
      <c r="BK52" s="72"/>
      <c r="BL52" s="72"/>
      <c r="BM52" s="72"/>
      <c r="BN52" s="72"/>
      <c r="BO52" s="92"/>
      <c r="BP52" s="72"/>
      <c r="BQ52" s="72"/>
      <c r="BR52" s="72"/>
      <c r="BT52" s="51" t="str">
        <f t="shared" si="3"/>
        <v>14h00 - 14h50</v>
      </c>
      <c r="BU52" s="56"/>
      <c r="BV52" s="51">
        <f>IF(BW51=$BO$42,BW51+$BO$38,BW51)</f>
        <v>0.58333333333333337</v>
      </c>
      <c r="BW52" s="51">
        <f t="shared" si="4"/>
        <v>0.61805555555555558</v>
      </c>
      <c r="BX52" s="53" t="str">
        <f t="shared" si="5"/>
        <v>00</v>
      </c>
      <c r="BY52" s="53">
        <f t="shared" si="5"/>
        <v>50</v>
      </c>
      <c r="CA52" s="50"/>
      <c r="CD52" s="51">
        <f>CD51+$BW$34</f>
        <v>0.58333333333333337</v>
      </c>
    </row>
    <row r="53" spans="2:82" ht="15.75" customHeight="1">
      <c r="B53" s="12"/>
      <c r="C53" s="187"/>
      <c r="D53" s="166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13"/>
      <c r="AC53" s="114"/>
      <c r="AD53" s="115"/>
      <c r="AE53" s="135"/>
      <c r="AF53" s="136"/>
      <c r="AG53" s="69"/>
      <c r="AH53" s="69"/>
      <c r="AI53" s="17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14"/>
      <c r="BE53" s="15"/>
      <c r="BF53" s="16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T53" s="51" t="str">
        <f t="shared" si="3"/>
        <v>15h05 - 15h55</v>
      </c>
      <c r="BU53" s="8">
        <f>TRUNC(BU51/60,0)</f>
        <v>12</v>
      </c>
      <c r="BV53" s="51">
        <f>IF(BW52=$BO$42,BW52+$BO$38,BW52)</f>
        <v>0.62847222222222221</v>
      </c>
      <c r="BW53" s="51">
        <f t="shared" si="4"/>
        <v>0.66319444444444442</v>
      </c>
      <c r="BX53" s="53" t="str">
        <f t="shared" si="5"/>
        <v>05</v>
      </c>
      <c r="BY53" s="53">
        <f t="shared" si="5"/>
        <v>55</v>
      </c>
      <c r="CD53" s="51">
        <f>CD52+$BW$34</f>
        <v>0.61805555555555558</v>
      </c>
    </row>
    <row r="54" spans="2:82" ht="15.75" customHeight="1">
      <c r="B54" s="12"/>
      <c r="C54" s="126" t="s">
        <v>87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71" t="str">
        <f>IF(AE44="","",ROUND(SUM(AE44:AF53)*BU15/60,0))</f>
        <v/>
      </c>
      <c r="AF54" s="172"/>
      <c r="AG54" s="69"/>
      <c r="AH54" s="69"/>
      <c r="AI54" s="17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14"/>
      <c r="BE54" s="15"/>
      <c r="BF54" s="16"/>
      <c r="BG54" s="44"/>
      <c r="BI54" s="72"/>
      <c r="BJ54" s="72"/>
      <c r="BK54" s="72"/>
      <c r="BL54" s="72"/>
      <c r="BM54" s="72"/>
      <c r="BN54" s="72"/>
      <c r="BO54" s="92"/>
      <c r="BP54" s="72"/>
      <c r="BQ54" s="72"/>
      <c r="BR54" s="72"/>
      <c r="BT54" s="51" t="str">
        <f t="shared" si="3"/>
        <v>15h55 - 16h45</v>
      </c>
      <c r="BU54" s="55">
        <f>BU51-BU53*60</f>
        <v>20</v>
      </c>
      <c r="BV54" s="51">
        <f>IF(BW53=$BO$42,BW53+$BO$38,BW53)</f>
        <v>0.66319444444444442</v>
      </c>
      <c r="BW54" s="51">
        <f t="shared" si="4"/>
        <v>0.69791666666666663</v>
      </c>
      <c r="BX54" s="53">
        <f t="shared" si="5"/>
        <v>55</v>
      </c>
      <c r="BY54" s="53">
        <f t="shared" si="5"/>
        <v>45</v>
      </c>
      <c r="CA54" s="50"/>
      <c r="CD54" s="51">
        <f>CD53+$BW$34</f>
        <v>0.65277777777777779</v>
      </c>
    </row>
    <row r="55" spans="2:82" ht="15.75" customHeight="1" thickBot="1">
      <c r="B55" s="12"/>
      <c r="C55" s="263" t="s">
        <v>88</v>
      </c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5" t="str">
        <f>IF(AE54="","",IF(COUNTA(AE44:AF53)&gt;4,COUNTA(AE44:AF53)-4+AE54,AE54))</f>
        <v/>
      </c>
      <c r="AF55" s="266"/>
      <c r="AG55" s="69"/>
      <c r="AH55" s="69"/>
      <c r="AI55" s="17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14"/>
      <c r="BE55" s="15"/>
      <c r="BF55" s="43"/>
      <c r="BG55" s="44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T55" s="51" t="str">
        <f t="shared" si="3"/>
        <v>16h45 - 17h35</v>
      </c>
      <c r="BV55" s="51">
        <f>IF(BW54=$BO$42,BW54+$BO$38,BW54)</f>
        <v>0.69791666666666663</v>
      </c>
      <c r="BW55" s="51">
        <f t="shared" si="4"/>
        <v>0.73263888888888884</v>
      </c>
      <c r="BX55" s="53">
        <f t="shared" si="5"/>
        <v>45</v>
      </c>
      <c r="BY55" s="53">
        <f t="shared" si="5"/>
        <v>35</v>
      </c>
      <c r="CA55" s="50"/>
      <c r="CD55" s="51">
        <f>CD54+$BW$34</f>
        <v>0.6875</v>
      </c>
    </row>
    <row r="56" spans="2:82" ht="15.75" customHeight="1" thickBot="1">
      <c r="B56" s="12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1"/>
      <c r="AF56" s="41"/>
      <c r="AG56" s="69"/>
      <c r="AH56" s="69"/>
      <c r="AI56" s="17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14"/>
      <c r="BE56" s="15"/>
      <c r="BF56" s="16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V56" s="49"/>
      <c r="BW56" s="49"/>
      <c r="BX56" s="50"/>
      <c r="BY56" s="50"/>
      <c r="BZ56" s="50"/>
      <c r="CA56" s="50"/>
      <c r="CD56" s="49"/>
    </row>
    <row r="57" spans="2:82" ht="15.75" customHeight="1">
      <c r="B57" s="12"/>
      <c r="C57" s="178" t="s">
        <v>90</v>
      </c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80"/>
      <c r="AG57" s="69"/>
      <c r="AH57" s="69"/>
      <c r="AI57" s="17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14"/>
      <c r="BE57" s="15"/>
      <c r="BF57" s="16"/>
      <c r="BI57" s="101" t="s">
        <v>107</v>
      </c>
      <c r="BJ57" s="101"/>
      <c r="BK57" s="101"/>
      <c r="BL57" s="101"/>
      <c r="BM57" s="101"/>
      <c r="BN57" s="101"/>
      <c r="BO57" s="101"/>
      <c r="BP57" s="101"/>
      <c r="BQ57" s="72"/>
      <c r="BR57" s="72"/>
      <c r="BV57" s="49"/>
      <c r="BW57" s="49"/>
      <c r="BX57" s="50"/>
      <c r="BY57" s="50"/>
      <c r="BZ57" s="50"/>
      <c r="CA57" s="50"/>
      <c r="CD57" s="49"/>
    </row>
    <row r="58" spans="2:82" ht="15.75" customHeight="1">
      <c r="B58" s="12"/>
      <c r="C58" s="181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3"/>
      <c r="AG58" s="69"/>
      <c r="AH58" s="69"/>
      <c r="AI58" s="17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14"/>
      <c r="BE58" s="15"/>
      <c r="BF58" s="16"/>
      <c r="BI58" s="101"/>
      <c r="BJ58" s="101"/>
      <c r="BK58" s="101"/>
      <c r="BL58" s="101"/>
      <c r="BM58" s="101"/>
      <c r="BN58" s="101"/>
      <c r="BO58" s="101"/>
      <c r="BP58" s="101"/>
      <c r="BT58" s="51" t="str">
        <f>HOUR(BV58)&amp;"h"&amp;BX58&amp;" - "&amp;HOUR(BW58)&amp;"h"&amp;BY58</f>
        <v>18h10 - 19h00</v>
      </c>
      <c r="BU58" s="8" t="s">
        <v>96</v>
      </c>
      <c r="BV58" s="51" t="str">
        <f>CA58</f>
        <v>18:10</v>
      </c>
      <c r="BW58" s="51">
        <f>BV58+$BW$34</f>
        <v>0.79166666666666674</v>
      </c>
      <c r="BX58" s="53">
        <f>IF(MINUTE(BV58)=0,MINUTE(BV58)&amp;MINUTE(BV58),IF(MINUTE(BV58)&lt;10,"0"&amp;MINUTE(BV58),MINUTE(BV58)))</f>
        <v>10</v>
      </c>
      <c r="BY58" s="53" t="str">
        <f>IF(MINUTE(BW58)=0,MINUTE(BW58)&amp;MINUTE(BW58),IF(MINUTE(BW58)&lt;10,"0"&amp;MINUTE(BW58),MINUTE(BW58)))</f>
        <v>00</v>
      </c>
      <c r="CA58" s="54" t="str">
        <f>BO47</f>
        <v>18:10</v>
      </c>
      <c r="CD58" s="51" t="str">
        <f>CA58</f>
        <v>18:10</v>
      </c>
    </row>
    <row r="59" spans="2:82" ht="15.75" customHeight="1">
      <c r="B59" s="12"/>
      <c r="C59" s="10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7"/>
      <c r="AE59" s="135"/>
      <c r="AF59" s="136"/>
      <c r="AG59" s="69"/>
      <c r="AH59" s="69"/>
      <c r="AI59" s="17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14"/>
      <c r="BE59" s="15"/>
      <c r="BF59" s="16"/>
      <c r="BI59" s="100" t="s">
        <v>116</v>
      </c>
      <c r="BJ59" s="100"/>
      <c r="BK59" s="100"/>
      <c r="BL59" s="100"/>
      <c r="BM59" s="100"/>
      <c r="BN59" s="100"/>
      <c r="BO59" s="100"/>
      <c r="BT59" s="51" t="str">
        <f>HOUR(BV59)&amp;"h"&amp;BX59&amp;" - "&amp;HOUR(BW59)&amp;"h"&amp;BY59</f>
        <v>19h00 - 19h50</v>
      </c>
      <c r="BU59" s="55">
        <v>1090</v>
      </c>
      <c r="BV59" s="51">
        <f>IF(BW58=$BO$49,BW58+$BO$45,BW58)</f>
        <v>0.79166666666666674</v>
      </c>
      <c r="BW59" s="51">
        <f>BV59+$BW$34</f>
        <v>0.82638888888888895</v>
      </c>
      <c r="BX59" s="53" t="str">
        <f t="shared" ref="BX59:BY62" si="6">IF(MINUTE(BV59)=0,MINUTE(BV59)&amp;MINUTE(BV59),IF(MINUTE(BV59)&lt;10,"0"&amp;MINUTE(BV59),MINUTE(BV59)))</f>
        <v>00</v>
      </c>
      <c r="BY59" s="53">
        <f t="shared" si="6"/>
        <v>50</v>
      </c>
      <c r="CA59" s="50"/>
      <c r="CD59" s="51">
        <f>CD58+$BW$34</f>
        <v>0.79166666666666674</v>
      </c>
    </row>
    <row r="60" spans="2:82" ht="15.75" customHeight="1">
      <c r="B60" s="12"/>
      <c r="C60" s="108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7"/>
      <c r="AE60" s="135"/>
      <c r="AF60" s="136"/>
      <c r="AG60" s="69"/>
      <c r="AH60" s="69"/>
      <c r="AI60" s="17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14"/>
      <c r="BE60" s="15"/>
      <c r="BF60" s="16"/>
      <c r="BI60" s="100" t="s">
        <v>115</v>
      </c>
      <c r="BJ60" s="100"/>
      <c r="BK60" s="100"/>
      <c r="BL60" s="100"/>
      <c r="BM60" s="100"/>
      <c r="BN60" s="100"/>
      <c r="BO60" s="100"/>
      <c r="BT60" s="51" t="str">
        <f>HOUR(BV60)&amp;"h"&amp;BX60&amp;" - "&amp;HOUR(BW60)&amp;"h"&amp;BY60</f>
        <v>19h50 - 20h40</v>
      </c>
      <c r="BU60" s="56"/>
      <c r="BV60" s="51">
        <f>IF(BW59=$BO$49,BW59+$BO$45,BW59)</f>
        <v>0.82638888888888895</v>
      </c>
      <c r="BW60" s="51">
        <f>BV60+$BW$34</f>
        <v>0.86111111111111116</v>
      </c>
      <c r="BX60" s="53">
        <f t="shared" si="6"/>
        <v>50</v>
      </c>
      <c r="BY60" s="53">
        <f t="shared" si="6"/>
        <v>40</v>
      </c>
      <c r="CD60" s="51">
        <f>CD59+$BW$34</f>
        <v>0.82638888888888895</v>
      </c>
    </row>
    <row r="61" spans="2:82" ht="15.75" customHeight="1">
      <c r="B61" s="12"/>
      <c r="C61" s="244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6"/>
      <c r="AE61" s="135"/>
      <c r="AF61" s="136"/>
      <c r="AG61" s="69"/>
      <c r="AH61" s="69"/>
      <c r="AI61" s="17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14"/>
      <c r="BE61" s="15"/>
      <c r="BF61" s="16"/>
      <c r="BI61" s="100" t="s">
        <v>114</v>
      </c>
      <c r="BJ61" s="100"/>
      <c r="BK61" s="100"/>
      <c r="BL61" s="100"/>
      <c r="BM61" s="100"/>
      <c r="BN61" s="100"/>
      <c r="BO61" s="100"/>
      <c r="BT61" s="51" t="str">
        <f>HOUR(BV61)&amp;"h"&amp;BX61&amp;" - "&amp;HOUR(BW61)&amp;"h"&amp;BY61</f>
        <v>20h55 - 21h45</v>
      </c>
      <c r="BU61" s="8">
        <f>TRUNC(BU59/60,0)</f>
        <v>18</v>
      </c>
      <c r="BV61" s="51">
        <f>IF(BW60=$BO$49,BW60+$BO$45,BW60)</f>
        <v>0.87152777777777779</v>
      </c>
      <c r="BW61" s="51">
        <f>BV61+$BW$34</f>
        <v>0.90625</v>
      </c>
      <c r="BX61" s="53">
        <f t="shared" si="6"/>
        <v>55</v>
      </c>
      <c r="BY61" s="53">
        <f t="shared" si="6"/>
        <v>45</v>
      </c>
      <c r="CA61" s="50"/>
      <c r="CD61" s="51">
        <f>CD60+$BW$34</f>
        <v>0.86111111111111116</v>
      </c>
    </row>
    <row r="62" spans="2:82" ht="15.75" customHeight="1">
      <c r="B62" s="12"/>
      <c r="C62" s="244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6"/>
      <c r="AE62" s="135"/>
      <c r="AF62" s="136"/>
      <c r="AG62" s="69"/>
      <c r="AH62" s="69"/>
      <c r="AI62" s="17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14"/>
      <c r="BE62" s="15"/>
      <c r="BF62" s="16"/>
      <c r="BI62" s="100" t="s">
        <v>113</v>
      </c>
      <c r="BJ62" s="100"/>
      <c r="BK62" s="100"/>
      <c r="BL62" s="100"/>
      <c r="BM62" s="100"/>
      <c r="BN62" s="100"/>
      <c r="BO62" s="100"/>
      <c r="BT62" s="51" t="str">
        <f>HOUR(BV62)&amp;"h"&amp;BX62&amp;" - "&amp;HOUR(BW62)&amp;"h"&amp;BY62</f>
        <v>21h45 - 22h35</v>
      </c>
      <c r="BU62" s="55">
        <f>BU59-BU61*60</f>
        <v>10</v>
      </c>
      <c r="BV62" s="51">
        <f>IF(BW61=$BO$49,BW61+$BO$45,BW61)</f>
        <v>0.90625</v>
      </c>
      <c r="BW62" s="51">
        <f>BV62+$BW$34</f>
        <v>0.94097222222222221</v>
      </c>
      <c r="BX62" s="53">
        <f t="shared" si="6"/>
        <v>45</v>
      </c>
      <c r="BY62" s="53">
        <f t="shared" si="6"/>
        <v>35</v>
      </c>
      <c r="CA62" s="50"/>
      <c r="CD62" s="51">
        <f>CD61+$BW$34</f>
        <v>0.89583333333333337</v>
      </c>
    </row>
    <row r="63" spans="2:82" ht="15.75" customHeight="1">
      <c r="B63" s="12"/>
      <c r="C63" s="244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6"/>
      <c r="AE63" s="135"/>
      <c r="AF63" s="136"/>
      <c r="AG63" s="69"/>
      <c r="AH63" s="69"/>
      <c r="AI63" s="17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14"/>
      <c r="BE63" s="15"/>
      <c r="BF63" s="16"/>
      <c r="BI63" s="100" t="s">
        <v>112</v>
      </c>
      <c r="BJ63" s="100"/>
      <c r="BK63" s="100"/>
      <c r="BL63" s="100"/>
      <c r="BM63" s="100"/>
      <c r="BN63" s="100"/>
      <c r="BO63" s="100"/>
    </row>
    <row r="64" spans="2:82" ht="15.75" customHeight="1">
      <c r="B64" s="12"/>
      <c r="C64" s="108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7"/>
      <c r="AE64" s="135"/>
      <c r="AF64" s="136"/>
      <c r="AG64" s="69"/>
      <c r="AH64" s="69"/>
      <c r="AI64" s="17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14"/>
      <c r="BE64" s="15"/>
      <c r="BF64" s="16"/>
    </row>
    <row r="65" spans="1:174" ht="15.75" customHeight="1">
      <c r="B65" s="12"/>
      <c r="C65" s="10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7"/>
      <c r="AE65" s="135"/>
      <c r="AF65" s="136"/>
      <c r="AG65" s="69"/>
      <c r="AH65" s="69"/>
      <c r="AI65" s="17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14"/>
      <c r="BE65" s="15"/>
      <c r="BF65" s="16"/>
    </row>
    <row r="66" spans="1:174" ht="15.75" customHeight="1" thickBot="1">
      <c r="B66" s="12"/>
      <c r="C66" s="247" t="s">
        <v>86</v>
      </c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9"/>
      <c r="AE66" s="116" t="str">
        <f>IF(AND(AE59="",AE60="",AE61="",AE62="",AE63="",AE64="",AE65=""),"",SUM(AE59:AF65))</f>
        <v/>
      </c>
      <c r="AF66" s="117"/>
      <c r="AG66" s="69"/>
      <c r="AH66" s="69"/>
      <c r="AI66" s="17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14"/>
      <c r="BE66" s="15"/>
      <c r="BF66" s="16"/>
    </row>
    <row r="67" spans="1:174" s="30" customFormat="1" ht="15.75" customHeight="1" thickBot="1">
      <c r="A67" s="10"/>
      <c r="B67" s="31"/>
      <c r="AI67" s="32"/>
      <c r="BD67" s="33"/>
      <c r="BE67" s="34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</row>
    <row r="68" spans="1:174" ht="15.75" customHeight="1">
      <c r="B68" s="4"/>
      <c r="C68" s="137" t="s">
        <v>83</v>
      </c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9"/>
      <c r="AG68" s="69"/>
      <c r="AH68" s="69"/>
      <c r="AI68" s="17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8"/>
      <c r="BE68" s="15"/>
      <c r="BI68" s="101" t="s">
        <v>108</v>
      </c>
      <c r="BJ68" s="101"/>
      <c r="BK68" s="101"/>
      <c r="BL68" s="101"/>
      <c r="BM68" s="101"/>
      <c r="BN68" s="101"/>
      <c r="BO68" s="101"/>
      <c r="BT68" s="10"/>
      <c r="BU68" s="10"/>
      <c r="BV68" s="10"/>
    </row>
    <row r="69" spans="1:174" ht="15.75" customHeight="1">
      <c r="B69" s="4"/>
      <c r="C69" s="140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2"/>
      <c r="AG69" s="69"/>
      <c r="AH69" s="69"/>
      <c r="AI69" s="17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8"/>
      <c r="BE69" s="15"/>
      <c r="BF69" s="16"/>
      <c r="BI69" s="101"/>
      <c r="BJ69" s="101"/>
      <c r="BK69" s="101"/>
      <c r="BL69" s="101"/>
      <c r="BM69" s="101"/>
      <c r="BN69" s="101"/>
      <c r="BO69" s="101"/>
    </row>
    <row r="70" spans="1:174" ht="15.75" customHeight="1">
      <c r="B70" s="4"/>
      <c r="C70" s="108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7"/>
      <c r="AE70" s="250"/>
      <c r="AF70" s="136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5"/>
      <c r="BF70" s="16"/>
      <c r="BI70" s="100" t="s">
        <v>117</v>
      </c>
      <c r="BJ70" s="100"/>
      <c r="BK70" s="100"/>
      <c r="BL70" s="100"/>
      <c r="BM70" s="100"/>
      <c r="BN70" s="100"/>
      <c r="BO70" s="100"/>
    </row>
    <row r="71" spans="1:174" ht="15.75" customHeight="1">
      <c r="B71" s="12"/>
      <c r="C71" s="108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7"/>
      <c r="AE71" s="135"/>
      <c r="AF71" s="136"/>
      <c r="AG71" s="69"/>
      <c r="AH71" s="69"/>
      <c r="AI71" s="17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14"/>
      <c r="BE71" s="15"/>
      <c r="BF71" s="16"/>
      <c r="BI71" s="100" t="s">
        <v>118</v>
      </c>
      <c r="BJ71" s="100"/>
      <c r="BK71" s="100"/>
      <c r="BL71" s="100"/>
      <c r="BM71" s="100"/>
      <c r="BN71" s="100"/>
      <c r="BO71" s="100"/>
    </row>
    <row r="72" spans="1:174" ht="15.75" customHeight="1">
      <c r="B72" s="12"/>
      <c r="C72" s="108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7"/>
      <c r="AE72" s="135"/>
      <c r="AF72" s="136"/>
      <c r="AG72" s="69"/>
      <c r="AH72" s="69"/>
      <c r="AI72" s="17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14"/>
      <c r="BE72" s="15"/>
      <c r="BF72" s="16"/>
      <c r="BI72" s="100" t="s">
        <v>123</v>
      </c>
      <c r="BJ72" s="100"/>
      <c r="BK72" s="100"/>
      <c r="BL72" s="100"/>
      <c r="BM72" s="100"/>
      <c r="BN72" s="100"/>
      <c r="BO72" s="100"/>
    </row>
    <row r="73" spans="1:174" ht="15.75" customHeight="1">
      <c r="B73" s="12"/>
      <c r="C73" s="108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7"/>
      <c r="AE73" s="135"/>
      <c r="AF73" s="136"/>
      <c r="AG73" s="69"/>
      <c r="AH73" s="69"/>
      <c r="AI73" s="17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14"/>
      <c r="BE73" s="15"/>
      <c r="BF73" s="16"/>
      <c r="BI73" s="100" t="s">
        <v>119</v>
      </c>
      <c r="BJ73" s="100"/>
      <c r="BK73" s="100"/>
      <c r="BL73" s="100"/>
      <c r="BM73" s="100"/>
      <c r="BN73" s="100"/>
      <c r="BO73" s="100"/>
    </row>
    <row r="74" spans="1:174" ht="15.75" customHeight="1">
      <c r="B74" s="12"/>
      <c r="C74" s="108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7"/>
      <c r="AE74" s="135"/>
      <c r="AF74" s="136"/>
      <c r="AG74" s="69"/>
      <c r="AH74" s="69"/>
      <c r="AI74" s="17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14"/>
      <c r="BE74" s="15"/>
      <c r="BF74" s="16"/>
      <c r="BI74" s="100" t="s">
        <v>120</v>
      </c>
      <c r="BJ74" s="100"/>
      <c r="BK74" s="100"/>
      <c r="BL74" s="100"/>
      <c r="BM74" s="100"/>
      <c r="BN74" s="100"/>
      <c r="BO74" s="100"/>
    </row>
    <row r="75" spans="1:174" ht="15.75" customHeight="1">
      <c r="B75" s="12"/>
      <c r="C75" s="244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6"/>
      <c r="AE75" s="135"/>
      <c r="AF75" s="136"/>
      <c r="AG75" s="69"/>
      <c r="AH75" s="69"/>
      <c r="AI75" s="17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14"/>
      <c r="BE75" s="15"/>
      <c r="BF75" s="16"/>
      <c r="BI75" s="100" t="s">
        <v>121</v>
      </c>
      <c r="BJ75" s="100"/>
      <c r="BK75" s="100"/>
      <c r="BL75" s="100"/>
      <c r="BM75" s="100"/>
      <c r="BN75" s="100"/>
      <c r="BO75" s="100"/>
    </row>
    <row r="76" spans="1:174" ht="15.75" customHeight="1" thickBot="1">
      <c r="B76" s="12"/>
      <c r="C76" s="247" t="s">
        <v>85</v>
      </c>
      <c r="D76" s="248"/>
      <c r="E76" s="248"/>
      <c r="F76" s="248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9"/>
      <c r="AE76" s="116" t="str">
        <f>IF(AND(AE70="",AE71="",AE72="",AE73="",AE74="",AE75=""),"",SUM(AE70:AF75))</f>
        <v/>
      </c>
      <c r="AF76" s="117"/>
      <c r="AG76" s="69"/>
      <c r="AH76" s="69"/>
      <c r="AI76" s="17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14"/>
      <c r="BE76" s="15"/>
      <c r="BF76" s="16"/>
    </row>
    <row r="77" spans="1:174" ht="15.75" customHeight="1" thickBot="1">
      <c r="B77" s="1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14"/>
      <c r="BE77" s="15"/>
      <c r="BF77" s="16"/>
    </row>
    <row r="78" spans="1:174" ht="15.75" customHeight="1">
      <c r="B78" s="12"/>
      <c r="C78" s="251" t="s">
        <v>124</v>
      </c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  <c r="Y78" s="252"/>
      <c r="Z78" s="252"/>
      <c r="AA78" s="252"/>
      <c r="AB78" s="252"/>
      <c r="AC78" s="252"/>
      <c r="AD78" s="253"/>
      <c r="AE78" s="257" t="str">
        <f>IF(AND(AE54="",AE55="",AE66="",AE76=""),"",SUM(AE54,AE55,AE66,AE76))</f>
        <v/>
      </c>
      <c r="AF78" s="258"/>
      <c r="AG78" s="69"/>
      <c r="AH78" s="69"/>
      <c r="AI78" s="17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14"/>
      <c r="BE78" s="15"/>
      <c r="BF78" s="43"/>
    </row>
    <row r="79" spans="1:174" ht="15.75" customHeight="1" thickBot="1">
      <c r="B79" s="12"/>
      <c r="C79" s="254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6"/>
      <c r="AE79" s="259"/>
      <c r="AF79" s="260"/>
      <c r="AG79" s="69"/>
      <c r="AH79" s="69"/>
      <c r="AI79" s="17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14"/>
      <c r="BE79" s="15"/>
      <c r="BF79" s="16"/>
    </row>
    <row r="80" spans="1:174" ht="15.75" customHeight="1">
      <c r="B80" s="12"/>
      <c r="C80" s="243" t="str">
        <f>IF(AE78="","",IF(AND(I13="",N13="",S13="",W13="",AB13=""),"Selecione seu regime de trabalho.",IF(C14&lt;&gt;"","Há problemas com o regime de trabalho selecionado nos dados sobre o docente, favor corrigir.",IF(AE78&lt;&gt;BU80,"Carga horária final incompatível com a jornada de trabalho de "&amp;BW11&amp;"h indicada, favor corrigir!",""))))</f>
        <v/>
      </c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69"/>
      <c r="AH80" s="69"/>
      <c r="AI80" s="17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14"/>
      <c r="BE80" s="15"/>
      <c r="BF80" s="16"/>
      <c r="BU80" s="10">
        <f>IF(I13&lt;&gt;"",20,40)</f>
        <v>40</v>
      </c>
    </row>
    <row r="81" spans="2:58" ht="15.75" customHeight="1">
      <c r="B81" s="12"/>
      <c r="C81" s="156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28"/>
      <c r="R81" s="173">
        <f ca="1">TODAY()</f>
        <v>43908</v>
      </c>
      <c r="S81" s="174"/>
      <c r="T81" s="174"/>
      <c r="U81" s="174"/>
      <c r="V81" s="174"/>
      <c r="W81" s="174"/>
      <c r="X81" s="69"/>
      <c r="Y81" s="158"/>
      <c r="Z81" s="159"/>
      <c r="AA81" s="159"/>
      <c r="AB81" s="159"/>
      <c r="AC81" s="159"/>
      <c r="AD81" s="159"/>
      <c r="AE81" s="159"/>
      <c r="AF81" s="159"/>
      <c r="AG81" s="69"/>
      <c r="AH81" s="69"/>
      <c r="AI81" s="17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14"/>
      <c r="BE81" s="15"/>
      <c r="BF81" s="16"/>
    </row>
    <row r="82" spans="2:58" ht="15.75" customHeight="1">
      <c r="B82" s="12"/>
      <c r="C82" s="167" t="s">
        <v>82</v>
      </c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"/>
      <c r="R82" s="158"/>
      <c r="S82" s="159"/>
      <c r="T82" s="159"/>
      <c r="U82" s="159"/>
      <c r="V82" s="159"/>
      <c r="W82" s="159"/>
      <c r="X82" s="16"/>
      <c r="Y82" s="37"/>
      <c r="Z82" s="169" t="s">
        <v>34</v>
      </c>
      <c r="AA82" s="170"/>
      <c r="AB82" s="170"/>
      <c r="AC82" s="170"/>
      <c r="AD82" s="170"/>
      <c r="AE82" s="170"/>
      <c r="AF82" s="37"/>
      <c r="AG82" s="69"/>
      <c r="AH82" s="69"/>
      <c r="AI82" s="17" t="s">
        <v>13</v>
      </c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14"/>
      <c r="BE82" s="15"/>
      <c r="BF82" s="16"/>
    </row>
    <row r="83" spans="2:58" ht="15.75" customHeight="1" thickBot="1">
      <c r="B83" s="2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6" t="s">
        <v>13</v>
      </c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38"/>
      <c r="BE83" s="39"/>
      <c r="BF83" s="16"/>
    </row>
    <row r="84" spans="2:58" ht="15.75" customHeight="1">
      <c r="AI84" s="10" t="s">
        <v>13</v>
      </c>
    </row>
    <row r="85" spans="2:58" ht="15.75" customHeight="1">
      <c r="B85" s="44"/>
      <c r="AI85" s="10" t="s">
        <v>13</v>
      </c>
    </row>
    <row r="86" spans="2:58" ht="15.75" customHeight="1">
      <c r="AI86" s="10" t="s">
        <v>13</v>
      </c>
    </row>
    <row r="87" spans="2:58" ht="15.75" customHeight="1">
      <c r="AI87" s="10" t="s">
        <v>13</v>
      </c>
    </row>
    <row r="88" spans="2:58" ht="15.75" customHeight="1">
      <c r="AI88" s="10" t="s">
        <v>13</v>
      </c>
    </row>
    <row r="89" spans="2:58" ht="15.75" customHeight="1">
      <c r="AI89" s="10" t="s">
        <v>13</v>
      </c>
    </row>
    <row r="90" spans="2:58" ht="15.75" customHeight="1">
      <c r="AI90" s="10" t="s">
        <v>13</v>
      </c>
    </row>
    <row r="91" spans="2:58" ht="15.75" customHeight="1">
      <c r="AI91" s="27" t="s">
        <v>13</v>
      </c>
    </row>
    <row r="92" spans="2:58" ht="15.75" customHeight="1">
      <c r="AI92" s="27" t="s">
        <v>13</v>
      </c>
    </row>
    <row r="93" spans="2:58" ht="15.75" customHeight="1">
      <c r="AI93" s="27" t="s">
        <v>13</v>
      </c>
    </row>
    <row r="94" spans="2:58" ht="15.75" customHeight="1">
      <c r="AI94" s="27" t="s">
        <v>13</v>
      </c>
    </row>
    <row r="95" spans="2:58" ht="15.75" customHeight="1">
      <c r="AI95" s="27" t="s">
        <v>13</v>
      </c>
    </row>
    <row r="96" spans="2:58" ht="15.75" customHeight="1">
      <c r="AI96" s="27" t="s">
        <v>13</v>
      </c>
    </row>
    <row r="97" spans="35:35" ht="15.75" customHeight="1">
      <c r="AI97" s="27" t="s">
        <v>13</v>
      </c>
    </row>
    <row r="98" spans="35:35" ht="15.75" customHeight="1">
      <c r="AI98" s="27" t="s">
        <v>13</v>
      </c>
    </row>
    <row r="99" spans="35:35" ht="15.75" customHeight="1">
      <c r="AI99" s="27" t="s">
        <v>13</v>
      </c>
    </row>
    <row r="100" spans="35:35" ht="15.75" customHeight="1">
      <c r="AI100" s="27" t="s">
        <v>13</v>
      </c>
    </row>
    <row r="101" spans="35:35" ht="15.75" customHeight="1">
      <c r="AI101" s="27" t="s">
        <v>13</v>
      </c>
    </row>
    <row r="102" spans="35:35" ht="15.75" customHeight="1">
      <c r="AI102" s="27" t="s">
        <v>13</v>
      </c>
    </row>
    <row r="103" spans="35:35" ht="15.75" customHeight="1">
      <c r="AI103" s="27" t="s">
        <v>13</v>
      </c>
    </row>
    <row r="104" spans="35:35" ht="15.75" customHeight="1">
      <c r="AI104" s="27" t="s">
        <v>13</v>
      </c>
    </row>
    <row r="105" spans="35:35" ht="15.75" customHeight="1">
      <c r="AI105" s="27" t="s">
        <v>13</v>
      </c>
    </row>
    <row r="106" spans="35:35" ht="15.75" customHeight="1">
      <c r="AI106" s="27" t="s">
        <v>13</v>
      </c>
    </row>
    <row r="107" spans="35:35" ht="15.75" customHeight="1">
      <c r="AI107" s="27" t="s">
        <v>13</v>
      </c>
    </row>
    <row r="108" spans="35:35" ht="15.75" customHeight="1">
      <c r="AI108" s="27" t="s">
        <v>13</v>
      </c>
    </row>
    <row r="109" spans="35:35" ht="15.75" customHeight="1">
      <c r="AI109" s="27" t="s">
        <v>13</v>
      </c>
    </row>
    <row r="110" spans="35:35" ht="15.75" customHeight="1">
      <c r="AI110" s="27" t="s">
        <v>13</v>
      </c>
    </row>
    <row r="111" spans="35:35" ht="15.75" customHeight="1">
      <c r="AI111" s="27" t="s">
        <v>13</v>
      </c>
    </row>
    <row r="112" spans="35:35" ht="15.75" customHeight="1">
      <c r="AI112" s="27" t="s">
        <v>13</v>
      </c>
    </row>
    <row r="113" spans="35:35" ht="15.75" customHeight="1">
      <c r="AI113" s="27" t="s">
        <v>13</v>
      </c>
    </row>
    <row r="114" spans="35:35" ht="15.75" customHeight="1">
      <c r="AI114" s="27" t="s">
        <v>13</v>
      </c>
    </row>
    <row r="115" spans="35:35" ht="15.75" customHeight="1">
      <c r="AI115" s="27" t="s">
        <v>13</v>
      </c>
    </row>
    <row r="116" spans="35:35" ht="15.75" customHeight="1">
      <c r="AI116" s="27" t="s">
        <v>13</v>
      </c>
    </row>
    <row r="117" spans="35:35" ht="15.75" customHeight="1">
      <c r="AI117" s="27" t="s">
        <v>13</v>
      </c>
    </row>
    <row r="118" spans="35:35" ht="15.75" customHeight="1">
      <c r="AI118" s="27" t="s">
        <v>13</v>
      </c>
    </row>
    <row r="119" spans="35:35" ht="15.75" customHeight="1">
      <c r="AI119" s="27" t="s">
        <v>13</v>
      </c>
    </row>
    <row r="120" spans="35:35" ht="15.75" customHeight="1">
      <c r="AI120" s="27" t="s">
        <v>13</v>
      </c>
    </row>
    <row r="121" spans="35:35" ht="15.75" customHeight="1">
      <c r="AI121" s="27" t="s">
        <v>13</v>
      </c>
    </row>
    <row r="122" spans="35:35" ht="15.75" customHeight="1">
      <c r="AI122" s="27" t="s">
        <v>13</v>
      </c>
    </row>
    <row r="123" spans="35:35" ht="15.75" customHeight="1">
      <c r="AI123" s="27" t="s">
        <v>13</v>
      </c>
    </row>
    <row r="124" spans="35:35" ht="15.75" customHeight="1">
      <c r="AI124" s="27" t="s">
        <v>13</v>
      </c>
    </row>
    <row r="125" spans="35:35" ht="15.75" customHeight="1">
      <c r="AI125" s="27" t="s">
        <v>13</v>
      </c>
    </row>
    <row r="126" spans="35:35" ht="15.75" customHeight="1">
      <c r="AI126" s="27" t="s">
        <v>13</v>
      </c>
    </row>
    <row r="127" spans="35:35" ht="15.75" customHeight="1">
      <c r="AI127" s="27" t="s">
        <v>13</v>
      </c>
    </row>
    <row r="128" spans="35:35" ht="15.75" customHeight="1">
      <c r="AI128" s="27" t="s">
        <v>13</v>
      </c>
    </row>
    <row r="129" spans="35:35" ht="15.75" customHeight="1">
      <c r="AI129" s="27" t="s">
        <v>13</v>
      </c>
    </row>
    <row r="130" spans="35:35" ht="15.75" customHeight="1">
      <c r="AI130" s="27" t="s">
        <v>13</v>
      </c>
    </row>
    <row r="131" spans="35:35" ht="15.75" customHeight="1">
      <c r="AI131" s="27" t="s">
        <v>13</v>
      </c>
    </row>
    <row r="132" spans="35:35" ht="15.75" customHeight="1">
      <c r="AI132" s="27" t="s">
        <v>13</v>
      </c>
    </row>
    <row r="133" spans="35:35" ht="15.75" customHeight="1">
      <c r="AI133" s="27" t="s">
        <v>13</v>
      </c>
    </row>
    <row r="134" spans="35:35" ht="15.75" customHeight="1">
      <c r="AI134" s="27" t="s">
        <v>13</v>
      </c>
    </row>
  </sheetData>
  <sheetProtection password="CF7A" sheet="1" objects="1" scenarios="1"/>
  <mergeCells count="316">
    <mergeCell ref="BI3:BP3"/>
    <mergeCell ref="BI57:BP58"/>
    <mergeCell ref="BI8:BP9"/>
    <mergeCell ref="BI11:BP11"/>
    <mergeCell ref="BI12:BP12"/>
    <mergeCell ref="BI15:BP15"/>
    <mergeCell ref="BI18:BP19"/>
    <mergeCell ref="BI21:BP21"/>
    <mergeCell ref="BJ24:BK24"/>
    <mergeCell ref="BN24:BO24"/>
    <mergeCell ref="BI26:BP28"/>
    <mergeCell ref="BI23:BL23"/>
    <mergeCell ref="BM23:BP23"/>
    <mergeCell ref="BJ31:BN31"/>
    <mergeCell ref="BJ33:BN33"/>
    <mergeCell ref="BJ35:BN35"/>
    <mergeCell ref="BJ36:BN36"/>
    <mergeCell ref="BJ43:BN43"/>
    <mergeCell ref="BJ40:BN40"/>
    <mergeCell ref="BJ38:BN38"/>
    <mergeCell ref="AE65:AF65"/>
    <mergeCell ref="BJ45:BN45"/>
    <mergeCell ref="BJ47:BN47"/>
    <mergeCell ref="BJ49:BN49"/>
    <mergeCell ref="BJ50:BN50"/>
    <mergeCell ref="C55:AD55"/>
    <mergeCell ref="AE55:AF55"/>
    <mergeCell ref="E50:Q50"/>
    <mergeCell ref="R50:AA50"/>
    <mergeCell ref="AB50:AD50"/>
    <mergeCell ref="AE50:AF50"/>
    <mergeCell ref="AB51:AD51"/>
    <mergeCell ref="C49:D49"/>
    <mergeCell ref="E49:Q49"/>
    <mergeCell ref="R49:AA49"/>
    <mergeCell ref="AE59:AF59"/>
    <mergeCell ref="AE60:AF60"/>
    <mergeCell ref="C61:AD61"/>
    <mergeCell ref="R46:AA46"/>
    <mergeCell ref="R47:AA47"/>
    <mergeCell ref="F11:M11"/>
    <mergeCell ref="C80:AF80"/>
    <mergeCell ref="C70:AD70"/>
    <mergeCell ref="C71:AD71"/>
    <mergeCell ref="C75:AD75"/>
    <mergeCell ref="AE71:AF71"/>
    <mergeCell ref="AE75:AF75"/>
    <mergeCell ref="C72:AD72"/>
    <mergeCell ref="C62:AD62"/>
    <mergeCell ref="C65:AD65"/>
    <mergeCell ref="C66:AD66"/>
    <mergeCell ref="C63:AD63"/>
    <mergeCell ref="C64:AD64"/>
    <mergeCell ref="C73:AD73"/>
    <mergeCell ref="C74:AD74"/>
    <mergeCell ref="AE72:AF72"/>
    <mergeCell ref="AE73:AF73"/>
    <mergeCell ref="AE74:AF74"/>
    <mergeCell ref="AE70:AF70"/>
    <mergeCell ref="C76:AD76"/>
    <mergeCell ref="AE76:AF76"/>
    <mergeCell ref="AD20:AF20"/>
    <mergeCell ref="C78:AD79"/>
    <mergeCell ref="AE78:AF79"/>
    <mergeCell ref="C17:D17"/>
    <mergeCell ref="E17:H17"/>
    <mergeCell ref="C18:D23"/>
    <mergeCell ref="E18:H18"/>
    <mergeCell ref="E19:H19"/>
    <mergeCell ref="E20:H20"/>
    <mergeCell ref="E21:H21"/>
    <mergeCell ref="E22:H22"/>
    <mergeCell ref="E23:H23"/>
    <mergeCell ref="N18:P18"/>
    <mergeCell ref="U12:W12"/>
    <mergeCell ref="X12:AF12"/>
    <mergeCell ref="U17:X17"/>
    <mergeCell ref="V18:X18"/>
    <mergeCell ref="AD21:AF21"/>
    <mergeCell ref="Y17:AB17"/>
    <mergeCell ref="AD19:AF19"/>
    <mergeCell ref="R20:T20"/>
    <mergeCell ref="AC17:AF17"/>
    <mergeCell ref="AD31:AF31"/>
    <mergeCell ref="U33:X33"/>
    <mergeCell ref="AB47:AD47"/>
    <mergeCell ref="J38:L38"/>
    <mergeCell ref="AD18:AF18"/>
    <mergeCell ref="Z20:AB20"/>
    <mergeCell ref="V19:X19"/>
    <mergeCell ref="Z19:AB19"/>
    <mergeCell ref="V21:X21"/>
    <mergeCell ref="V22:X22"/>
    <mergeCell ref="R23:T23"/>
    <mergeCell ref="V23:X23"/>
    <mergeCell ref="R27:T27"/>
    <mergeCell ref="R18:T18"/>
    <mergeCell ref="J18:L18"/>
    <mergeCell ref="R21:T21"/>
    <mergeCell ref="M25:P25"/>
    <mergeCell ref="J20:L20"/>
    <mergeCell ref="R26:T26"/>
    <mergeCell ref="N23:P23"/>
    <mergeCell ref="V27:X27"/>
    <mergeCell ref="Z34:AB34"/>
    <mergeCell ref="J21:L21"/>
    <mergeCell ref="N21:P21"/>
    <mergeCell ref="Z31:AB31"/>
    <mergeCell ref="J28:L28"/>
    <mergeCell ref="J23:L23"/>
    <mergeCell ref="O13:R13"/>
    <mergeCell ref="N27:P27"/>
    <mergeCell ref="I25:L25"/>
    <mergeCell ref="J19:L19"/>
    <mergeCell ref="N19:P19"/>
    <mergeCell ref="R19:T19"/>
    <mergeCell ref="I17:L17"/>
    <mergeCell ref="M17:P17"/>
    <mergeCell ref="U25:X25"/>
    <mergeCell ref="N22:P22"/>
    <mergeCell ref="R22:T22"/>
    <mergeCell ref="C15:AF16"/>
    <mergeCell ref="AC25:AF25"/>
    <mergeCell ref="Q17:T17"/>
    <mergeCell ref="N20:P20"/>
    <mergeCell ref="V20:X20"/>
    <mergeCell ref="J26:L26"/>
    <mergeCell ref="N26:P26"/>
    <mergeCell ref="Z23:AB23"/>
    <mergeCell ref="Z21:AB21"/>
    <mergeCell ref="Q25:T25"/>
    <mergeCell ref="C4:AF4"/>
    <mergeCell ref="C10:E10"/>
    <mergeCell ref="T13:V13"/>
    <mergeCell ref="C14:AF14"/>
    <mergeCell ref="AA7:AF7"/>
    <mergeCell ref="C7:E7"/>
    <mergeCell ref="C5:AF5"/>
    <mergeCell ref="C9:AF9"/>
    <mergeCell ref="N11:P11"/>
    <mergeCell ref="Q11:AF11"/>
    <mergeCell ref="K12:N12"/>
    <mergeCell ref="C11:E11"/>
    <mergeCell ref="F7:T7"/>
    <mergeCell ref="U7:Z7"/>
    <mergeCell ref="AC13:AF13"/>
    <mergeCell ref="F10:T10"/>
    <mergeCell ref="U10:Z10"/>
    <mergeCell ref="AA10:AF10"/>
    <mergeCell ref="X13:AA13"/>
    <mergeCell ref="C13:H13"/>
    <mergeCell ref="J13:M13"/>
    <mergeCell ref="O12:T12"/>
    <mergeCell ref="C12:E12"/>
    <mergeCell ref="F12:J12"/>
    <mergeCell ref="E53:Q53"/>
    <mergeCell ref="C40:AF40"/>
    <mergeCell ref="E38:H38"/>
    <mergeCell ref="E33:H33"/>
    <mergeCell ref="J37:L37"/>
    <mergeCell ref="Q33:T33"/>
    <mergeCell ref="N31:P31"/>
    <mergeCell ref="R31:T31"/>
    <mergeCell ref="R29:T29"/>
    <mergeCell ref="M33:P33"/>
    <mergeCell ref="V31:X31"/>
    <mergeCell ref="J35:L35"/>
    <mergeCell ref="I33:L33"/>
    <mergeCell ref="J31:L31"/>
    <mergeCell ref="Z36:AB36"/>
    <mergeCell ref="Z29:AB29"/>
    <mergeCell ref="Z35:AB35"/>
    <mergeCell ref="R34:T34"/>
    <mergeCell ref="V34:X34"/>
    <mergeCell ref="V36:X36"/>
    <mergeCell ref="J34:L34"/>
    <mergeCell ref="N30:P30"/>
    <mergeCell ref="R30:T30"/>
    <mergeCell ref="Z30:AB30"/>
    <mergeCell ref="AD28:AF28"/>
    <mergeCell ref="AD22:AF22"/>
    <mergeCell ref="J30:L30"/>
    <mergeCell ref="N28:P28"/>
    <mergeCell ref="R28:T28"/>
    <mergeCell ref="V28:X28"/>
    <mergeCell ref="J27:L27"/>
    <mergeCell ref="J29:L29"/>
    <mergeCell ref="N29:P29"/>
    <mergeCell ref="C24:AF24"/>
    <mergeCell ref="Z26:AB26"/>
    <mergeCell ref="Z28:AB28"/>
    <mergeCell ref="AD23:AF23"/>
    <mergeCell ref="V29:X29"/>
    <mergeCell ref="V26:X26"/>
    <mergeCell ref="J22:L22"/>
    <mergeCell ref="AD29:AF29"/>
    <mergeCell ref="C82:P82"/>
    <mergeCell ref="R82:W82"/>
    <mergeCell ref="Z82:AE82"/>
    <mergeCell ref="AE54:AF54"/>
    <mergeCell ref="AE45:AF45"/>
    <mergeCell ref="AE46:AF46"/>
    <mergeCell ref="R81:W81"/>
    <mergeCell ref="E45:Q45"/>
    <mergeCell ref="AE51:AF51"/>
    <mergeCell ref="C51:D51"/>
    <mergeCell ref="E51:Q51"/>
    <mergeCell ref="AE52:AF52"/>
    <mergeCell ref="AB46:AD46"/>
    <mergeCell ref="R45:AA45"/>
    <mergeCell ref="C47:D47"/>
    <mergeCell ref="C57:AF58"/>
    <mergeCell ref="C59:AD59"/>
    <mergeCell ref="AE61:AF61"/>
    <mergeCell ref="AB49:AD49"/>
    <mergeCell ref="AE49:AF49"/>
    <mergeCell ref="AB53:AD53"/>
    <mergeCell ref="AE64:AF64"/>
    <mergeCell ref="AB48:AD48"/>
    <mergeCell ref="AE48:AF48"/>
    <mergeCell ref="N77:AQ77"/>
    <mergeCell ref="Z18:AB18"/>
    <mergeCell ref="Z27:AB27"/>
    <mergeCell ref="B1:BE2"/>
    <mergeCell ref="C81:P81"/>
    <mergeCell ref="Y81:AF81"/>
    <mergeCell ref="AD38:AF38"/>
    <mergeCell ref="E43:Q43"/>
    <mergeCell ref="C43:D43"/>
    <mergeCell ref="V37:X37"/>
    <mergeCell ref="R43:AA43"/>
    <mergeCell ref="AE43:AF43"/>
    <mergeCell ref="AE44:AF44"/>
    <mergeCell ref="C44:D44"/>
    <mergeCell ref="Z38:AB38"/>
    <mergeCell ref="R38:T38"/>
    <mergeCell ref="V38:X38"/>
    <mergeCell ref="AB43:AD43"/>
    <mergeCell ref="E44:Q44"/>
    <mergeCell ref="AD37:AF37"/>
    <mergeCell ref="R37:T37"/>
    <mergeCell ref="R53:AA53"/>
    <mergeCell ref="AD26:AF26"/>
    <mergeCell ref="Z22:AB22"/>
    <mergeCell ref="C34:D38"/>
    <mergeCell ref="E34:H34"/>
    <mergeCell ref="Z37:AB37"/>
    <mergeCell ref="AE53:AF53"/>
    <mergeCell ref="R51:AA51"/>
    <mergeCell ref="C68:AF69"/>
    <mergeCell ref="N38:P38"/>
    <mergeCell ref="J36:L36"/>
    <mergeCell ref="N36:P36"/>
    <mergeCell ref="R36:T36"/>
    <mergeCell ref="R44:AA44"/>
    <mergeCell ref="AE47:AF47"/>
    <mergeCell ref="AD35:AF35"/>
    <mergeCell ref="AD36:AF36"/>
    <mergeCell ref="C41:AF42"/>
    <mergeCell ref="C50:D50"/>
    <mergeCell ref="AE62:AF62"/>
    <mergeCell ref="AE63:AF63"/>
    <mergeCell ref="E48:Q48"/>
    <mergeCell ref="C52:D52"/>
    <mergeCell ref="E52:Q52"/>
    <mergeCell ref="R52:AA52"/>
    <mergeCell ref="AB52:AD52"/>
    <mergeCell ref="C53:D53"/>
    <mergeCell ref="AC33:AF33"/>
    <mergeCell ref="AB44:AD44"/>
    <mergeCell ref="AE66:AF66"/>
    <mergeCell ref="AD34:AF34"/>
    <mergeCell ref="C25:D25"/>
    <mergeCell ref="E25:H25"/>
    <mergeCell ref="C26:D31"/>
    <mergeCell ref="E26:H26"/>
    <mergeCell ref="E27:H27"/>
    <mergeCell ref="E28:H28"/>
    <mergeCell ref="E29:H29"/>
    <mergeCell ref="C54:AD54"/>
    <mergeCell ref="Y25:AB25"/>
    <mergeCell ref="AD27:AF27"/>
    <mergeCell ref="C46:D46"/>
    <mergeCell ref="C45:D45"/>
    <mergeCell ref="E46:Q46"/>
    <mergeCell ref="N37:P37"/>
    <mergeCell ref="AB45:AD45"/>
    <mergeCell ref="N35:P35"/>
    <mergeCell ref="R35:T35"/>
    <mergeCell ref="V35:X35"/>
    <mergeCell ref="AD30:AF30"/>
    <mergeCell ref="V30:X30"/>
    <mergeCell ref="E30:H30"/>
    <mergeCell ref="E31:H31"/>
    <mergeCell ref="C33:D33"/>
    <mergeCell ref="BI72:BO72"/>
    <mergeCell ref="BI73:BO73"/>
    <mergeCell ref="BI74:BO74"/>
    <mergeCell ref="BI75:BO75"/>
    <mergeCell ref="BI59:BO59"/>
    <mergeCell ref="BI60:BO60"/>
    <mergeCell ref="BI61:BO61"/>
    <mergeCell ref="BI62:BO62"/>
    <mergeCell ref="BI63:BO63"/>
    <mergeCell ref="BI68:BO69"/>
    <mergeCell ref="BI70:BO70"/>
    <mergeCell ref="BI71:BO71"/>
    <mergeCell ref="E36:H36"/>
    <mergeCell ref="E37:H37"/>
    <mergeCell ref="N34:P34"/>
    <mergeCell ref="E47:Q47"/>
    <mergeCell ref="C60:AD60"/>
    <mergeCell ref="R48:AA48"/>
    <mergeCell ref="E35:H35"/>
    <mergeCell ref="BJ42:BN42"/>
    <mergeCell ref="Y33:AB33"/>
  </mergeCells>
  <phoneticPr fontId="11" type="noConversion"/>
  <dataValidations count="8">
    <dataValidation type="list" allowBlank="1" showInputMessage="1" showErrorMessage="1" errorTitle="Busque um campus na lista" error="Clique na aba de menu suspenso que aparece no final da célula e selecione o campus desejado." promptTitle="Busque um campus na lista" sqref="F7">
      <formula1>$BT$1:$BT$38</formula1>
    </dataValidation>
    <dataValidation type="list" allowBlank="1" showInputMessage="1" showErrorMessage="1" sqref="I13 Y34:Y39 U34:U39 Q34:Q39 M34:M39 I34:I39 AC34:AC39 S13 N13 AB13 W13 I18:I23 M18:M23 Q18:Q23 U18:U23 AC18:AC23 Y26:Y31 I26:I31 Y18:Y23 Q26:Q31 U26:U31 AC26:AC31 M26:M31">
      <formula1>$BU$2:$BU$3</formula1>
    </dataValidation>
    <dataValidation type="list" allowBlank="1" showInputMessage="1" showErrorMessage="1" errorTitle="Horário inválido" error="O horário de início do intervalo só pode ser um dos apresentados no menu suspenso." sqref="BO35">
      <formula1>$CD$43:$CD$46</formula1>
    </dataValidation>
    <dataValidation type="list" allowBlank="1" showInputMessage="1" showErrorMessage="1" errorTitle="Horário inválido" error="O horário de início do intervalo só pode ser um dos apresentados no menu suspenso." sqref="BO42">
      <formula1>$CD$51:$CD$54</formula1>
    </dataValidation>
    <dataValidation type="list" allowBlank="1" showInputMessage="1" showErrorMessage="1" errorTitle="Horário inválido" error="O horário de início do intervalo só pode ser um dos apresentados no menu suspenso." sqref="BO49">
      <formula1>$CD$59:$CD$62</formula1>
    </dataValidation>
    <dataValidation type="list" allowBlank="1" showInputMessage="1" showErrorMessage="1" errorTitle="Duração inválida." error="A duração do intervalo só pode ser um dos valores apresentados no menu suspenso." sqref="BO31 BO38 BO45">
      <formula1>$CD$32:$CD$38</formula1>
    </dataValidation>
    <dataValidation type="list" allowBlank="1" showInputMessage="1" showErrorMessage="1" errorTitle="Sigla inválida" error="Selecione um período no menu suspenso ao lado da célula." sqref="AB44:AD53">
      <formula1>$BU$26:$BU$29</formula1>
    </dataValidation>
    <dataValidation type="whole" operator="greaterThanOrEqual" allowBlank="1" showInputMessage="1" showErrorMessage="1" errorTitle="Número de aulas inválido." error="Digite um valor inteiro maior ou igual a 1." sqref="AE44:AF53">
      <formula1>1</formula1>
    </dataValidation>
  </dataValidations>
  <printOptions horizontalCentered="1" verticalCentered="1"/>
  <pageMargins left="0.39370078740157483" right="0.51181102362204722" top="0.27559055118110237" bottom="0.27559055118110237" header="0.51181102362204722" footer="0.51181102362204722"/>
  <pageSetup paperSize="9" scale="63" orientation="portrait" horizontalDpi="300" verticalDpi="300" r:id="rId1"/>
  <headerFooter alignWithMargins="0"/>
  <ignoredErrors>
    <ignoredError sqref="BV6:BV10 BU15 BU19 BT41 BU45:BU50 BU52:BU58 BU60:BU62 BU2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FPA</vt:lpstr>
      <vt:lpstr>FPA!imprimir</vt:lpstr>
      <vt:lpstr>FPA!Print_Area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Nelson;Domício, Walter e Eberval</dc:creator>
  <cp:lastModifiedBy>Kaju</cp:lastModifiedBy>
  <cp:lastPrinted>2014-12-12T18:51:45Z</cp:lastPrinted>
  <dcterms:created xsi:type="dcterms:W3CDTF">2012-01-19T20:38:43Z</dcterms:created>
  <dcterms:modified xsi:type="dcterms:W3CDTF">2020-03-18T17:09:50Z</dcterms:modified>
  <cp:contentStatus>Planilhas para atribuição de atividades docentes</cp:contentStatus>
</cp:coreProperties>
</file>